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VIDEO\Downloads\"/>
    </mc:Choice>
  </mc:AlternateContent>
  <xr:revisionPtr revIDLastSave="0" documentId="13_ncr:1_{B3C9C73C-2EE3-4C2D-9529-AB7DA5E58E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мер маркетплейс" sheetId="1" r:id="rId1"/>
  </sheets>
  <calcPr calcId="191029"/>
  <extLst>
    <ext uri="GoogleSheetsCustomDataVersion2">
      <go:sheetsCustomData xmlns:go="http://customooxmlschemas.google.com/" r:id="rId6" roundtripDataChecksum="G+6fLu4UKBsHh7/WMagNsSrbqu1u/KA9w+tupS+gSGQ="/>
    </ext>
  </extLst>
</workbook>
</file>

<file path=xl/calcChain.xml><?xml version="1.0" encoding="utf-8"?>
<calcChain xmlns="http://schemas.openxmlformats.org/spreadsheetml/2006/main">
  <c r="C183" i="1" l="1"/>
  <c r="C182" i="1"/>
  <c r="P177" i="1"/>
  <c r="D177" i="1"/>
  <c r="C176" i="1"/>
  <c r="P172" i="1"/>
  <c r="P171" i="1"/>
  <c r="C171" i="1"/>
  <c r="P170" i="1"/>
  <c r="D160" i="1"/>
  <c r="C170" i="1" s="1"/>
  <c r="D154" i="1"/>
  <c r="D148" i="1"/>
  <c r="C143" i="1"/>
  <c r="D142" i="1" s="1"/>
  <c r="D136" i="1"/>
  <c r="O128" i="1"/>
  <c r="O163" i="1" s="1"/>
  <c r="N128" i="1"/>
  <c r="N163" i="1" s="1"/>
  <c r="M128" i="1"/>
  <c r="M163" i="1" s="1"/>
  <c r="L128" i="1"/>
  <c r="L163" i="1" s="1"/>
  <c r="K128" i="1"/>
  <c r="K163" i="1" s="1"/>
  <c r="J128" i="1"/>
  <c r="J163" i="1" s="1"/>
  <c r="I128" i="1"/>
  <c r="I163" i="1" s="1"/>
  <c r="H128" i="1"/>
  <c r="H163" i="1" s="1"/>
  <c r="G128" i="1"/>
  <c r="G163" i="1" s="1"/>
  <c r="F128" i="1"/>
  <c r="F163" i="1" s="1"/>
  <c r="E128" i="1"/>
  <c r="E163" i="1" s="1"/>
  <c r="D128" i="1"/>
  <c r="D163" i="1" s="1"/>
  <c r="D123" i="1"/>
  <c r="D119" i="1" s="1"/>
  <c r="D122" i="1"/>
  <c r="D106" i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M81" i="1" s="1"/>
  <c r="L83" i="1"/>
  <c r="L81" i="1" s="1"/>
  <c r="K83" i="1"/>
  <c r="J83" i="1"/>
  <c r="I83" i="1"/>
  <c r="I81" i="1" s="1"/>
  <c r="H83" i="1"/>
  <c r="H81" i="1" s="1"/>
  <c r="G83" i="1"/>
  <c r="F83" i="1"/>
  <c r="E83" i="1"/>
  <c r="E81" i="1" s="1"/>
  <c r="D83" i="1"/>
  <c r="O74" i="1"/>
  <c r="N74" i="1"/>
  <c r="M74" i="1"/>
  <c r="L74" i="1"/>
  <c r="K74" i="1"/>
  <c r="J74" i="1"/>
  <c r="I74" i="1"/>
  <c r="H74" i="1"/>
  <c r="G74" i="1"/>
  <c r="F74" i="1"/>
  <c r="E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O71" i="1"/>
  <c r="N71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O69" i="1"/>
  <c r="N69" i="1"/>
  <c r="M69" i="1"/>
  <c r="L69" i="1"/>
  <c r="K69" i="1"/>
  <c r="J69" i="1"/>
  <c r="I69" i="1"/>
  <c r="H69" i="1"/>
  <c r="G69" i="1"/>
  <c r="F69" i="1"/>
  <c r="E69" i="1"/>
  <c r="D69" i="1"/>
  <c r="O68" i="1"/>
  <c r="N68" i="1"/>
  <c r="M68" i="1"/>
  <c r="L68" i="1"/>
  <c r="K68" i="1"/>
  <c r="J68" i="1"/>
  <c r="I68" i="1"/>
  <c r="H68" i="1"/>
  <c r="G68" i="1"/>
  <c r="F68" i="1"/>
  <c r="E68" i="1"/>
  <c r="D68" i="1"/>
  <c r="O67" i="1"/>
  <c r="N67" i="1"/>
  <c r="N65" i="1" s="1"/>
  <c r="M67" i="1"/>
  <c r="L67" i="1"/>
  <c r="L65" i="1" s="1"/>
  <c r="K67" i="1"/>
  <c r="J67" i="1"/>
  <c r="J65" i="1" s="1"/>
  <c r="I67" i="1"/>
  <c r="H67" i="1"/>
  <c r="G67" i="1"/>
  <c r="F67" i="1"/>
  <c r="F65" i="1" s="1"/>
  <c r="E67" i="1"/>
  <c r="D67" i="1"/>
  <c r="D65" i="1" s="1"/>
  <c r="C35" i="1"/>
  <c r="O37" i="1" s="1"/>
  <c r="O39" i="1" s="1"/>
  <c r="O41" i="1" s="1"/>
  <c r="O34" i="1" s="1"/>
  <c r="C20" i="1"/>
  <c r="I37" i="1" l="1"/>
  <c r="I39" i="1" s="1"/>
  <c r="I41" i="1" s="1"/>
  <c r="I34" i="1" s="1"/>
  <c r="D37" i="1"/>
  <c r="D39" i="1" s="1"/>
  <c r="D41" i="1" s="1"/>
  <c r="D34" i="1" s="1"/>
  <c r="D52" i="1" s="1"/>
  <c r="N37" i="1"/>
  <c r="N39" i="1" s="1"/>
  <c r="N41" i="1" s="1"/>
  <c r="N34" i="1" s="1"/>
  <c r="N53" i="1" s="1"/>
  <c r="C174" i="1"/>
  <c r="L37" i="1"/>
  <c r="L39" i="1" s="1"/>
  <c r="L41" i="1" s="1"/>
  <c r="L34" i="1" s="1"/>
  <c r="L54" i="1" s="1"/>
  <c r="F37" i="1"/>
  <c r="F39" i="1" s="1"/>
  <c r="F41" i="1" s="1"/>
  <c r="F34" i="1" s="1"/>
  <c r="F53" i="1" s="1"/>
  <c r="I65" i="1"/>
  <c r="H37" i="1"/>
  <c r="H39" i="1" s="1"/>
  <c r="H41" i="1" s="1"/>
  <c r="H34" i="1" s="1"/>
  <c r="H52" i="1" s="1"/>
  <c r="M37" i="1"/>
  <c r="M39" i="1" s="1"/>
  <c r="M41" i="1" s="1"/>
  <c r="M34" i="1" s="1"/>
  <c r="M54" i="1" s="1"/>
  <c r="E65" i="1"/>
  <c r="K65" i="1"/>
  <c r="P83" i="1"/>
  <c r="P85" i="1"/>
  <c r="P86" i="1"/>
  <c r="P88" i="1"/>
  <c r="P95" i="1"/>
  <c r="P96" i="1"/>
  <c r="P98" i="1"/>
  <c r="P99" i="1"/>
  <c r="M65" i="1"/>
  <c r="G65" i="1"/>
  <c r="O65" i="1"/>
  <c r="E37" i="1"/>
  <c r="E39" i="1" s="1"/>
  <c r="E41" i="1" s="1"/>
  <c r="E34" i="1" s="1"/>
  <c r="E52" i="1" s="1"/>
  <c r="J37" i="1"/>
  <c r="J39" i="1" s="1"/>
  <c r="J41" i="1" s="1"/>
  <c r="J34" i="1" s="1"/>
  <c r="J53" i="1" s="1"/>
  <c r="P37" i="1"/>
  <c r="P39" i="1" s="1"/>
  <c r="P41" i="1" s="1"/>
  <c r="P69" i="1"/>
  <c r="P70" i="1"/>
  <c r="H65" i="1"/>
  <c r="P72" i="1"/>
  <c r="P73" i="1"/>
  <c r="P74" i="1"/>
  <c r="H54" i="1"/>
  <c r="O53" i="1"/>
  <c r="O54" i="1"/>
  <c r="O52" i="1"/>
  <c r="I54" i="1"/>
  <c r="I53" i="1"/>
  <c r="I52" i="1"/>
  <c r="N52" i="1"/>
  <c r="D53" i="1"/>
  <c r="F52" i="1"/>
  <c r="F54" i="1"/>
  <c r="P71" i="1"/>
  <c r="D81" i="1"/>
  <c r="P84" i="1"/>
  <c r="P87" i="1"/>
  <c r="D20" i="1"/>
  <c r="D23" i="1" s="1"/>
  <c r="P67" i="1"/>
  <c r="P68" i="1"/>
  <c r="G81" i="1"/>
  <c r="K81" i="1"/>
  <c r="O81" i="1"/>
  <c r="F81" i="1"/>
  <c r="J81" i="1"/>
  <c r="N81" i="1"/>
  <c r="P89" i="1"/>
  <c r="P90" i="1"/>
  <c r="P94" i="1"/>
  <c r="D183" i="1"/>
  <c r="D121" i="1"/>
  <c r="E121" i="1" s="1"/>
  <c r="D104" i="1"/>
  <c r="G37" i="1"/>
  <c r="G39" i="1" s="1"/>
  <c r="G41" i="1" s="1"/>
  <c r="G34" i="1" s="1"/>
  <c r="K37" i="1"/>
  <c r="K39" i="1" s="1"/>
  <c r="K41" i="1" s="1"/>
  <c r="K34" i="1" s="1"/>
  <c r="E122" i="1"/>
  <c r="E104" i="1" s="1"/>
  <c r="E177" i="1"/>
  <c r="C172" i="1"/>
  <c r="C169" i="1" s="1"/>
  <c r="E53" i="1" l="1"/>
  <c r="D54" i="1"/>
  <c r="C167" i="1"/>
  <c r="N54" i="1"/>
  <c r="N51" i="1" s="1"/>
  <c r="N62" i="1" s="1"/>
  <c r="N63" i="1" s="1"/>
  <c r="J54" i="1"/>
  <c r="H53" i="1"/>
  <c r="H51" i="1" s="1"/>
  <c r="H62" i="1" s="1"/>
  <c r="H63" i="1" s="1"/>
  <c r="M52" i="1"/>
  <c r="M53" i="1"/>
  <c r="M51" i="1" s="1"/>
  <c r="M62" i="1" s="1"/>
  <c r="M63" i="1" s="1"/>
  <c r="J52" i="1"/>
  <c r="J51" i="1" s="1"/>
  <c r="J62" i="1" s="1"/>
  <c r="J63" i="1" s="1"/>
  <c r="L52" i="1"/>
  <c r="E20" i="1"/>
  <c r="E23" i="1" s="1"/>
  <c r="L53" i="1"/>
  <c r="P65" i="1"/>
  <c r="F51" i="1"/>
  <c r="F62" i="1" s="1"/>
  <c r="F63" i="1" s="1"/>
  <c r="E54" i="1"/>
  <c r="I51" i="1"/>
  <c r="I62" i="1" s="1"/>
  <c r="I63" i="1" s="1"/>
  <c r="F177" i="1"/>
  <c r="K52" i="1"/>
  <c r="K54" i="1"/>
  <c r="K53" i="1"/>
  <c r="F20" i="1"/>
  <c r="P34" i="1"/>
  <c r="G52" i="1"/>
  <c r="G54" i="1"/>
  <c r="G53" i="1"/>
  <c r="M25" i="1"/>
  <c r="M27" i="1" s="1"/>
  <c r="I25" i="1"/>
  <c r="I27" i="1" s="1"/>
  <c r="E25" i="1"/>
  <c r="E27" i="1" s="1"/>
  <c r="L25" i="1"/>
  <c r="L27" i="1" s="1"/>
  <c r="G25" i="1"/>
  <c r="G27" i="1" s="1"/>
  <c r="J25" i="1"/>
  <c r="J27" i="1" s="1"/>
  <c r="H25" i="1"/>
  <c r="H27" i="1" s="1"/>
  <c r="K25" i="1"/>
  <c r="K27" i="1" s="1"/>
  <c r="F25" i="1"/>
  <c r="F27" i="1" s="1"/>
  <c r="O25" i="1"/>
  <c r="O27" i="1" s="1"/>
  <c r="N25" i="1"/>
  <c r="N27" i="1" s="1"/>
  <c r="D25" i="1"/>
  <c r="D27" i="1" s="1"/>
  <c r="E51" i="1"/>
  <c r="E62" i="1" s="1"/>
  <c r="E63" i="1" s="1"/>
  <c r="O51" i="1"/>
  <c r="O62" i="1" s="1"/>
  <c r="O63" i="1" s="1"/>
  <c r="D51" i="1"/>
  <c r="E123" i="1"/>
  <c r="F121" i="1"/>
  <c r="P81" i="1"/>
  <c r="L51" i="1" l="1"/>
  <c r="L62" i="1" s="1"/>
  <c r="L63" i="1" s="1"/>
  <c r="K51" i="1"/>
  <c r="K62" i="1" s="1"/>
  <c r="K63" i="1" s="1"/>
  <c r="G51" i="1"/>
  <c r="G62" i="1" s="1"/>
  <c r="G63" i="1" s="1"/>
  <c r="D62" i="1"/>
  <c r="D63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O29" i="1" s="1"/>
  <c r="O19" i="1" s="1"/>
  <c r="G121" i="1"/>
  <c r="E119" i="1"/>
  <c r="F23" i="1"/>
  <c r="G20" i="1"/>
  <c r="G177" i="1"/>
  <c r="J29" i="1" l="1"/>
  <c r="J19" i="1" s="1"/>
  <c r="P51" i="1"/>
  <c r="P62" i="1" s="1"/>
  <c r="E29" i="1"/>
  <c r="E19" i="1" s="1"/>
  <c r="E49" i="1" s="1"/>
  <c r="K29" i="1"/>
  <c r="K19" i="1" s="1"/>
  <c r="K47" i="1" s="1"/>
  <c r="H29" i="1"/>
  <c r="H19" i="1" s="1"/>
  <c r="H16" i="1" s="1"/>
  <c r="D29" i="1"/>
  <c r="D19" i="1" s="1"/>
  <c r="D16" i="1" s="1"/>
  <c r="G29" i="1"/>
  <c r="G19" i="1" s="1"/>
  <c r="G49" i="1" s="1"/>
  <c r="E48" i="1"/>
  <c r="H177" i="1"/>
  <c r="G23" i="1"/>
  <c r="H20" i="1"/>
  <c r="H49" i="1"/>
  <c r="H47" i="1"/>
  <c r="D47" i="1"/>
  <c r="F29" i="1"/>
  <c r="F19" i="1" s="1"/>
  <c r="J49" i="1"/>
  <c r="J48" i="1"/>
  <c r="J47" i="1"/>
  <c r="J16" i="1"/>
  <c r="O49" i="1"/>
  <c r="O16" i="1"/>
  <c r="O48" i="1"/>
  <c r="O47" i="1"/>
  <c r="G16" i="1"/>
  <c r="G48" i="1"/>
  <c r="E183" i="1"/>
  <c r="F122" i="1"/>
  <c r="N29" i="1"/>
  <c r="N19" i="1" s="1"/>
  <c r="I29" i="1"/>
  <c r="I19" i="1" s="1"/>
  <c r="H121" i="1"/>
  <c r="L29" i="1"/>
  <c r="L19" i="1" s="1"/>
  <c r="M29" i="1"/>
  <c r="M19" i="1" s="1"/>
  <c r="G47" i="1" l="1"/>
  <c r="E47" i="1"/>
  <c r="E16" i="1"/>
  <c r="K49" i="1"/>
  <c r="K16" i="1"/>
  <c r="K48" i="1"/>
  <c r="D48" i="1"/>
  <c r="D49" i="1"/>
  <c r="H48" i="1"/>
  <c r="H46" i="1" s="1"/>
  <c r="L16" i="1"/>
  <c r="L47" i="1"/>
  <c r="L49" i="1"/>
  <c r="L48" i="1"/>
  <c r="I121" i="1"/>
  <c r="H143" i="1"/>
  <c r="H97" i="1"/>
  <c r="H92" i="1" s="1"/>
  <c r="H79" i="1" s="1"/>
  <c r="H11" i="1"/>
  <c r="G97" i="1"/>
  <c r="G92" i="1" s="1"/>
  <c r="G79" i="1" s="1"/>
  <c r="G11" i="1"/>
  <c r="G143" i="1"/>
  <c r="H149" i="1"/>
  <c r="H137" i="1"/>
  <c r="K149" i="1"/>
  <c r="K137" i="1"/>
  <c r="I177" i="1"/>
  <c r="E143" i="1"/>
  <c r="E11" i="1"/>
  <c r="E97" i="1"/>
  <c r="E92" i="1" s="1"/>
  <c r="E79" i="1" s="1"/>
  <c r="F104" i="1"/>
  <c r="F123" i="1"/>
  <c r="O149" i="1"/>
  <c r="O137" i="1"/>
  <c r="O46" i="1"/>
  <c r="D155" i="1"/>
  <c r="D149" i="1"/>
  <c r="D137" i="1"/>
  <c r="M16" i="1"/>
  <c r="M47" i="1"/>
  <c r="M49" i="1"/>
  <c r="M48" i="1"/>
  <c r="I49" i="1"/>
  <c r="I48" i="1"/>
  <c r="I16" i="1"/>
  <c r="I47" i="1"/>
  <c r="G137" i="1"/>
  <c r="G149" i="1"/>
  <c r="G46" i="1"/>
  <c r="O143" i="1"/>
  <c r="O11" i="1"/>
  <c r="O97" i="1"/>
  <c r="O92" i="1" s="1"/>
  <c r="O79" i="1" s="1"/>
  <c r="J143" i="1"/>
  <c r="J97" i="1"/>
  <c r="J92" i="1" s="1"/>
  <c r="J79" i="1" s="1"/>
  <c r="J11" i="1"/>
  <c r="F49" i="1"/>
  <c r="F48" i="1"/>
  <c r="F47" i="1"/>
  <c r="F16" i="1"/>
  <c r="H23" i="1"/>
  <c r="I20" i="1"/>
  <c r="K143" i="1"/>
  <c r="K97" i="1"/>
  <c r="K92" i="1" s="1"/>
  <c r="K79" i="1" s="1"/>
  <c r="K11" i="1"/>
  <c r="N49" i="1"/>
  <c r="N48" i="1"/>
  <c r="N47" i="1"/>
  <c r="N16" i="1"/>
  <c r="J149" i="1"/>
  <c r="J137" i="1"/>
  <c r="J46" i="1"/>
  <c r="P19" i="1"/>
  <c r="D143" i="1"/>
  <c r="D97" i="1"/>
  <c r="D92" i="1" s="1"/>
  <c r="D11" i="1"/>
  <c r="E149" i="1"/>
  <c r="E137" i="1"/>
  <c r="E46" i="1"/>
  <c r="K46" i="1" l="1"/>
  <c r="C7" i="1"/>
  <c r="E7" i="1" s="1"/>
  <c r="F7" i="1" s="1"/>
  <c r="D46" i="1"/>
  <c r="D59" i="1" s="1"/>
  <c r="D60" i="1" s="1"/>
  <c r="D79" i="1"/>
  <c r="I97" i="1"/>
  <c r="I92" i="1" s="1"/>
  <c r="I79" i="1" s="1"/>
  <c r="I143" i="1"/>
  <c r="I11" i="1"/>
  <c r="D44" i="1"/>
  <c r="E172" i="1"/>
  <c r="F142" i="1"/>
  <c r="K171" i="1"/>
  <c r="L136" i="1"/>
  <c r="K131" i="1"/>
  <c r="I148" i="1"/>
  <c r="I142" i="1"/>
  <c r="H172" i="1"/>
  <c r="E44" i="1"/>
  <c r="E56" i="1" s="1"/>
  <c r="E59" i="1"/>
  <c r="E60" i="1" s="1"/>
  <c r="K148" i="1"/>
  <c r="K150" i="1" s="1"/>
  <c r="F143" i="1"/>
  <c r="F97" i="1"/>
  <c r="F92" i="1" s="1"/>
  <c r="F79" i="1" s="1"/>
  <c r="F11" i="1"/>
  <c r="J172" i="1"/>
  <c r="K142" i="1"/>
  <c r="O172" i="1"/>
  <c r="M137" i="1"/>
  <c r="M149" i="1"/>
  <c r="M46" i="1"/>
  <c r="D171" i="1"/>
  <c r="D138" i="1"/>
  <c r="D131" i="1"/>
  <c r="E136" i="1"/>
  <c r="E138" i="1" s="1"/>
  <c r="O171" i="1"/>
  <c r="O131" i="1"/>
  <c r="L148" i="1"/>
  <c r="L149" i="1"/>
  <c r="L137" i="1"/>
  <c r="L46" i="1"/>
  <c r="K136" i="1"/>
  <c r="K138" i="1" s="1"/>
  <c r="J171" i="1"/>
  <c r="J131" i="1"/>
  <c r="O44" i="1"/>
  <c r="O56" i="1" s="1"/>
  <c r="O59" i="1"/>
  <c r="O60" i="1" s="1"/>
  <c r="D144" i="1"/>
  <c r="D172" i="1"/>
  <c r="E142" i="1"/>
  <c r="E144" i="1" s="1"/>
  <c r="E131" i="1"/>
  <c r="E171" i="1"/>
  <c r="F136" i="1"/>
  <c r="K172" i="1"/>
  <c r="L142" i="1"/>
  <c r="K144" i="1"/>
  <c r="G44" i="1"/>
  <c r="G56" i="1" s="1"/>
  <c r="G59" i="1"/>
  <c r="G60" i="1" s="1"/>
  <c r="I149" i="1"/>
  <c r="I137" i="1"/>
  <c r="I46" i="1"/>
  <c r="M143" i="1"/>
  <c r="M97" i="1"/>
  <c r="M92" i="1" s="1"/>
  <c r="M79" i="1" s="1"/>
  <c r="M11" i="1"/>
  <c r="D150" i="1"/>
  <c r="E148" i="1"/>
  <c r="J177" i="1"/>
  <c r="H44" i="1"/>
  <c r="H56" i="1" s="1"/>
  <c r="H59" i="1"/>
  <c r="H60" i="1" s="1"/>
  <c r="H142" i="1"/>
  <c r="H144" i="1" s="1"/>
  <c r="G172" i="1"/>
  <c r="J121" i="1"/>
  <c r="L143" i="1"/>
  <c r="L97" i="1"/>
  <c r="L92" i="1" s="1"/>
  <c r="L79" i="1" s="1"/>
  <c r="L11" i="1"/>
  <c r="N137" i="1"/>
  <c r="N149" i="1"/>
  <c r="N46" i="1"/>
  <c r="G171" i="1"/>
  <c r="H136" i="1"/>
  <c r="H138" i="1" s="1"/>
  <c r="G131" i="1"/>
  <c r="E150" i="1"/>
  <c r="F148" i="1"/>
  <c r="P16" i="1"/>
  <c r="P97" i="1" s="1"/>
  <c r="J44" i="1"/>
  <c r="J56" i="1" s="1"/>
  <c r="J59" i="1"/>
  <c r="J60" i="1" s="1"/>
  <c r="N143" i="1"/>
  <c r="N97" i="1"/>
  <c r="N92" i="1" s="1"/>
  <c r="N79" i="1" s="1"/>
  <c r="N11" i="1"/>
  <c r="I23" i="1"/>
  <c r="J20" i="1"/>
  <c r="F149" i="1"/>
  <c r="F137" i="1"/>
  <c r="F46" i="1"/>
  <c r="H148" i="1"/>
  <c r="H150" i="1" s="1"/>
  <c r="D184" i="1"/>
  <c r="D182" i="1" s="1"/>
  <c r="D156" i="1"/>
  <c r="E154" i="1"/>
  <c r="E155" i="1" s="1"/>
  <c r="F119" i="1"/>
  <c r="K44" i="1"/>
  <c r="K56" i="1" s="1"/>
  <c r="K59" i="1"/>
  <c r="K60" i="1" s="1"/>
  <c r="H131" i="1"/>
  <c r="H171" i="1"/>
  <c r="I136" i="1"/>
  <c r="G57" i="1" l="1"/>
  <c r="G12" i="1" s="1"/>
  <c r="G76" i="1"/>
  <c r="L44" i="1"/>
  <c r="L56" i="1" s="1"/>
  <c r="L59" i="1"/>
  <c r="L60" i="1" s="1"/>
  <c r="F172" i="1"/>
  <c r="G142" i="1"/>
  <c r="G144" i="1" s="1"/>
  <c r="F144" i="1"/>
  <c r="D56" i="1"/>
  <c r="I44" i="1"/>
  <c r="I56" i="1" s="1"/>
  <c r="I59" i="1"/>
  <c r="I60" i="1" s="1"/>
  <c r="K121" i="1"/>
  <c r="I171" i="1"/>
  <c r="J136" i="1"/>
  <c r="J138" i="1" s="1"/>
  <c r="I138" i="1"/>
  <c r="I131" i="1"/>
  <c r="L138" i="1"/>
  <c r="L131" i="1"/>
  <c r="M136" i="1"/>
  <c r="L171" i="1"/>
  <c r="M44" i="1"/>
  <c r="M56" i="1" s="1"/>
  <c r="M59" i="1"/>
  <c r="M60" i="1" s="1"/>
  <c r="E76" i="1"/>
  <c r="E57" i="1"/>
  <c r="E12" i="1" s="1"/>
  <c r="K177" i="1"/>
  <c r="J57" i="1"/>
  <c r="J12" i="1" s="1"/>
  <c r="J76" i="1"/>
  <c r="K57" i="1"/>
  <c r="K12" i="1" s="1"/>
  <c r="K76" i="1"/>
  <c r="H57" i="1"/>
  <c r="H12" i="1" s="1"/>
  <c r="H76" i="1"/>
  <c r="I150" i="1"/>
  <c r="J148" i="1"/>
  <c r="J150" i="1" s="1"/>
  <c r="L150" i="1"/>
  <c r="M148" i="1"/>
  <c r="M150" i="1" s="1"/>
  <c r="N148" i="1"/>
  <c r="N150" i="1" s="1"/>
  <c r="I172" i="1"/>
  <c r="I144" i="1"/>
  <c r="J142" i="1"/>
  <c r="J144" i="1" s="1"/>
  <c r="P79" i="1"/>
  <c r="G136" i="1"/>
  <c r="G138" i="1" s="1"/>
  <c r="F171" i="1"/>
  <c r="F131" i="1"/>
  <c r="F138" i="1"/>
  <c r="G148" i="1"/>
  <c r="G150" i="1" s="1"/>
  <c r="F150" i="1"/>
  <c r="N44" i="1"/>
  <c r="N56" i="1" s="1"/>
  <c r="N59" i="1"/>
  <c r="N60" i="1" s="1"/>
  <c r="E184" i="1"/>
  <c r="E182" i="1" s="1"/>
  <c r="E156" i="1"/>
  <c r="E132" i="1" s="1"/>
  <c r="F154" i="1"/>
  <c r="F155" i="1" s="1"/>
  <c r="J23" i="1"/>
  <c r="K20" i="1"/>
  <c r="O148" i="1"/>
  <c r="O150" i="1" s="1"/>
  <c r="F183" i="1"/>
  <c r="G122" i="1"/>
  <c r="F44" i="1"/>
  <c r="F56" i="1" s="1"/>
  <c r="F59" i="1"/>
  <c r="F60" i="1" s="1"/>
  <c r="N172" i="1"/>
  <c r="O142" i="1"/>
  <c r="O144" i="1" s="1"/>
  <c r="N171" i="1"/>
  <c r="O136" i="1"/>
  <c r="O138" i="1" s="1"/>
  <c r="N131" i="1"/>
  <c r="L144" i="1"/>
  <c r="M142" i="1"/>
  <c r="M144" i="1" s="1"/>
  <c r="L172" i="1"/>
  <c r="M172" i="1"/>
  <c r="N142" i="1"/>
  <c r="N144" i="1" s="1"/>
  <c r="O57" i="1"/>
  <c r="O12" i="1" s="1"/>
  <c r="O76" i="1"/>
  <c r="D132" i="1"/>
  <c r="M171" i="1"/>
  <c r="M131" i="1"/>
  <c r="M138" i="1"/>
  <c r="N136" i="1"/>
  <c r="N138" i="1" s="1"/>
  <c r="P46" i="1"/>
  <c r="P59" i="1" s="1"/>
  <c r="P92" i="1"/>
  <c r="N76" i="1" l="1"/>
  <c r="N57" i="1"/>
  <c r="N12" i="1" s="1"/>
  <c r="K23" i="1"/>
  <c r="L20" i="1"/>
  <c r="H77" i="1"/>
  <c r="H101" i="1"/>
  <c r="K77" i="1"/>
  <c r="K101" i="1"/>
  <c r="L121" i="1"/>
  <c r="D57" i="1"/>
  <c r="D12" i="1" s="1"/>
  <c r="D76" i="1"/>
  <c r="P56" i="1"/>
  <c r="G77" i="1"/>
  <c r="G101" i="1"/>
  <c r="G104" i="1"/>
  <c r="G123" i="1"/>
  <c r="L177" i="1"/>
  <c r="M76" i="1"/>
  <c r="M57" i="1"/>
  <c r="M12" i="1" s="1"/>
  <c r="P44" i="1"/>
  <c r="O101" i="1"/>
  <c r="O77" i="1"/>
  <c r="F76" i="1"/>
  <c r="F57" i="1"/>
  <c r="F12" i="1" s="1"/>
  <c r="F184" i="1"/>
  <c r="F182" i="1" s="1"/>
  <c r="G154" i="1"/>
  <c r="G155" i="1" s="1"/>
  <c r="F156" i="1"/>
  <c r="F132" i="1" s="1"/>
  <c r="J101" i="1"/>
  <c r="J77" i="1"/>
  <c r="I76" i="1"/>
  <c r="I57" i="1"/>
  <c r="I12" i="1" s="1"/>
  <c r="E101" i="1"/>
  <c r="E77" i="1"/>
  <c r="L57" i="1"/>
  <c r="L12" i="1" s="1"/>
  <c r="L76" i="1"/>
  <c r="I101" i="1" l="1"/>
  <c r="I77" i="1"/>
  <c r="H102" i="1"/>
  <c r="G184" i="1"/>
  <c r="H154" i="1"/>
  <c r="H155" i="1" s="1"/>
  <c r="G156" i="1"/>
  <c r="G132" i="1" s="1"/>
  <c r="M121" i="1"/>
  <c r="M101" i="1"/>
  <c r="M77" i="1"/>
  <c r="L77" i="1"/>
  <c r="L101" i="1"/>
  <c r="E108" i="1"/>
  <c r="E102" i="1"/>
  <c r="J102" i="1"/>
  <c r="M177" i="1"/>
  <c r="D101" i="1"/>
  <c r="D77" i="1"/>
  <c r="P76" i="1"/>
  <c r="N101" i="1"/>
  <c r="N77" i="1"/>
  <c r="O102" i="1"/>
  <c r="F77" i="1"/>
  <c r="F101" i="1"/>
  <c r="G119" i="1"/>
  <c r="G108" i="1"/>
  <c r="G102" i="1"/>
  <c r="K102" i="1"/>
  <c r="L23" i="1"/>
  <c r="M20" i="1"/>
  <c r="G183" i="1" l="1"/>
  <c r="G182" i="1" s="1"/>
  <c r="H122" i="1"/>
  <c r="M102" i="1"/>
  <c r="H184" i="1"/>
  <c r="H156" i="1"/>
  <c r="H132" i="1" s="1"/>
  <c r="I154" i="1"/>
  <c r="I155" i="1" s="1"/>
  <c r="E110" i="1"/>
  <c r="E161" i="1" s="1"/>
  <c r="D108" i="1"/>
  <c r="D102" i="1"/>
  <c r="P101" i="1"/>
  <c r="N102" i="1"/>
  <c r="N177" i="1"/>
  <c r="L102" i="1"/>
  <c r="N121" i="1"/>
  <c r="F108" i="1"/>
  <c r="F102" i="1"/>
  <c r="M23" i="1"/>
  <c r="N20" i="1"/>
  <c r="G110" i="1"/>
  <c r="G161" i="1" s="1"/>
  <c r="I102" i="1"/>
  <c r="G112" i="1" l="1"/>
  <c r="F110" i="1"/>
  <c r="F161" i="1" s="1"/>
  <c r="O177" i="1"/>
  <c r="E112" i="1"/>
  <c r="N23" i="1"/>
  <c r="O20" i="1"/>
  <c r="O23" i="1" s="1"/>
  <c r="H104" i="1"/>
  <c r="H108" i="1" s="1"/>
  <c r="H123" i="1"/>
  <c r="O121" i="1"/>
  <c r="D110" i="1"/>
  <c r="D161" i="1" s="1"/>
  <c r="I184" i="1"/>
  <c r="I156" i="1"/>
  <c r="I132" i="1" s="1"/>
  <c r="J154" i="1"/>
  <c r="J155" i="1" s="1"/>
  <c r="D112" i="1" l="1"/>
  <c r="F112" i="1"/>
  <c r="F125" i="1" s="1"/>
  <c r="H119" i="1"/>
  <c r="F113" i="1"/>
  <c r="J184" i="1"/>
  <c r="J156" i="1"/>
  <c r="J132" i="1" s="1"/>
  <c r="K154" i="1"/>
  <c r="K155" i="1" s="1"/>
  <c r="D178" i="1"/>
  <c r="D13" i="1"/>
  <c r="D114" i="1"/>
  <c r="E114" i="1" s="1"/>
  <c r="F114" i="1" s="1"/>
  <c r="G114" i="1" s="1"/>
  <c r="D113" i="1"/>
  <c r="D125" i="1"/>
  <c r="H110" i="1"/>
  <c r="H161" i="1" s="1"/>
  <c r="E125" i="1"/>
  <c r="E113" i="1"/>
  <c r="E13" i="1"/>
  <c r="G125" i="1"/>
  <c r="G113" i="1"/>
  <c r="G13" i="1"/>
  <c r="F13" i="1" l="1"/>
  <c r="D179" i="1"/>
  <c r="E179" i="1" s="1"/>
  <c r="F179" i="1" s="1"/>
  <c r="G179" i="1" s="1"/>
  <c r="D116" i="1"/>
  <c r="D162" i="1"/>
  <c r="D164" i="1" s="1"/>
  <c r="D165" i="1" s="1"/>
  <c r="E178" i="1"/>
  <c r="D176" i="1"/>
  <c r="D174" i="1" s="1"/>
  <c r="H183" i="1"/>
  <c r="H182" i="1" s="1"/>
  <c r="I122" i="1"/>
  <c r="H112" i="1"/>
  <c r="H114" i="1" s="1"/>
  <c r="K184" i="1"/>
  <c r="L154" i="1"/>
  <c r="L155" i="1" s="1"/>
  <c r="K156" i="1"/>
  <c r="K132" i="1" s="1"/>
  <c r="F162" i="1"/>
  <c r="F164" i="1" s="1"/>
  <c r="F116" i="1"/>
  <c r="G162" i="1"/>
  <c r="G164" i="1" s="1"/>
  <c r="G116" i="1"/>
  <c r="E116" i="1"/>
  <c r="E162" i="1"/>
  <c r="E164" i="1" s="1"/>
  <c r="L184" i="1" l="1"/>
  <c r="L156" i="1"/>
  <c r="L132" i="1" s="1"/>
  <c r="M154" i="1"/>
  <c r="M155" i="1" s="1"/>
  <c r="I104" i="1"/>
  <c r="I108" i="1" s="1"/>
  <c r="I123" i="1"/>
  <c r="D158" i="1"/>
  <c r="E160" i="1"/>
  <c r="E165" i="1" s="1"/>
  <c r="D170" i="1"/>
  <c r="D169" i="1" s="1"/>
  <c r="D167" i="1" s="1"/>
  <c r="D14" i="1"/>
  <c r="H13" i="1"/>
  <c r="H125" i="1"/>
  <c r="H113" i="1"/>
  <c r="F178" i="1"/>
  <c r="E176" i="1"/>
  <c r="E174" i="1" s="1"/>
  <c r="M184" i="1" l="1"/>
  <c r="M156" i="1"/>
  <c r="M132" i="1" s="1"/>
  <c r="N154" i="1"/>
  <c r="N155" i="1" s="1"/>
  <c r="G178" i="1"/>
  <c r="F176" i="1"/>
  <c r="F174" i="1" s="1"/>
  <c r="H179" i="1"/>
  <c r="H162" i="1"/>
  <c r="H164" i="1" s="1"/>
  <c r="H116" i="1"/>
  <c r="I110" i="1"/>
  <c r="I161" i="1" s="1"/>
  <c r="E170" i="1"/>
  <c r="E169" i="1" s="1"/>
  <c r="E167" i="1" s="1"/>
  <c r="F160" i="1"/>
  <c r="F165" i="1" s="1"/>
  <c r="E158" i="1"/>
  <c r="E14" i="1"/>
  <c r="I119" i="1"/>
  <c r="I112" i="1" l="1"/>
  <c r="H178" i="1"/>
  <c r="G176" i="1"/>
  <c r="G174" i="1" s="1"/>
  <c r="N184" i="1"/>
  <c r="N156" i="1"/>
  <c r="N132" i="1" s="1"/>
  <c r="O154" i="1"/>
  <c r="O155" i="1" s="1"/>
  <c r="I183" i="1"/>
  <c r="I182" i="1" s="1"/>
  <c r="J122" i="1"/>
  <c r="G160" i="1"/>
  <c r="G165" i="1" s="1"/>
  <c r="F170" i="1"/>
  <c r="F169" i="1" s="1"/>
  <c r="F167" i="1" s="1"/>
  <c r="F14" i="1"/>
  <c r="F158" i="1"/>
  <c r="I125" i="1"/>
  <c r="I113" i="1"/>
  <c r="I13" i="1"/>
  <c r="I114" i="1"/>
  <c r="I179" i="1" l="1"/>
  <c r="I116" i="1"/>
  <c r="I162" i="1"/>
  <c r="I164" i="1" s="1"/>
  <c r="H160" i="1"/>
  <c r="H165" i="1" s="1"/>
  <c r="G170" i="1"/>
  <c r="G169" i="1" s="1"/>
  <c r="G167" i="1" s="1"/>
  <c r="G158" i="1"/>
  <c r="G14" i="1"/>
  <c r="O184" i="1"/>
  <c r="O156" i="1"/>
  <c r="O132" i="1" s="1"/>
  <c r="I178" i="1"/>
  <c r="H176" i="1"/>
  <c r="H174" i="1" s="1"/>
  <c r="J104" i="1"/>
  <c r="J108" i="1" s="1"/>
  <c r="J123" i="1"/>
  <c r="I176" i="1" l="1"/>
  <c r="I174" i="1" s="1"/>
  <c r="J119" i="1"/>
  <c r="J110" i="1"/>
  <c r="J161" i="1" s="1"/>
  <c r="H158" i="1"/>
  <c r="H170" i="1"/>
  <c r="H169" i="1" s="1"/>
  <c r="H167" i="1" s="1"/>
  <c r="I160" i="1"/>
  <c r="I165" i="1" s="1"/>
  <c r="H14" i="1"/>
  <c r="I170" i="1" l="1"/>
  <c r="I169" i="1" s="1"/>
  <c r="I167" i="1" s="1"/>
  <c r="I158" i="1"/>
  <c r="J160" i="1"/>
  <c r="I14" i="1"/>
  <c r="J112" i="1"/>
  <c r="J183" i="1"/>
  <c r="J182" i="1" s="1"/>
  <c r="K122" i="1"/>
  <c r="J125" i="1" l="1"/>
  <c r="J113" i="1"/>
  <c r="J13" i="1"/>
  <c r="J114" i="1"/>
  <c r="J178" i="1"/>
  <c r="K104" i="1"/>
  <c r="K108" i="1" s="1"/>
  <c r="K123" i="1"/>
  <c r="J179" i="1" l="1"/>
  <c r="J176" i="1" s="1"/>
  <c r="J174" i="1" s="1"/>
  <c r="J116" i="1"/>
  <c r="J162" i="1"/>
  <c r="J164" i="1" s="1"/>
  <c r="J165" i="1" s="1"/>
  <c r="K119" i="1"/>
  <c r="K110" i="1"/>
  <c r="K161" i="1" s="1"/>
  <c r="K112" i="1" l="1"/>
  <c r="K125" i="1" s="1"/>
  <c r="K160" i="1"/>
  <c r="J158" i="1"/>
  <c r="J170" i="1"/>
  <c r="J169" i="1" s="1"/>
  <c r="J167" i="1" s="1"/>
  <c r="J14" i="1"/>
  <c r="K183" i="1"/>
  <c r="K182" i="1" s="1"/>
  <c r="L122" i="1"/>
  <c r="K178" i="1"/>
  <c r="K114" i="1" l="1"/>
  <c r="K13" i="1"/>
  <c r="K113" i="1"/>
  <c r="L104" i="1"/>
  <c r="L108" i="1" s="1"/>
  <c r="L123" i="1"/>
  <c r="K179" i="1"/>
  <c r="K176" i="1" s="1"/>
  <c r="K174" i="1" s="1"/>
  <c r="K116" i="1"/>
  <c r="K162" i="1"/>
  <c r="K164" i="1" s="1"/>
  <c r="K165" i="1" s="1"/>
  <c r="L160" i="1" l="1"/>
  <c r="K158" i="1"/>
  <c r="K170" i="1"/>
  <c r="K169" i="1" s="1"/>
  <c r="K167" i="1" s="1"/>
  <c r="K14" i="1"/>
  <c r="L119" i="1"/>
  <c r="L110" i="1"/>
  <c r="L161" i="1" s="1"/>
  <c r="L112" i="1" l="1"/>
  <c r="L113" i="1" s="1"/>
  <c r="L114" i="1"/>
  <c r="L178" i="1"/>
  <c r="L183" i="1"/>
  <c r="L182" i="1" s="1"/>
  <c r="M122" i="1"/>
  <c r="L125" i="1" l="1"/>
  <c r="L179" i="1" s="1"/>
  <c r="L176" i="1" s="1"/>
  <c r="L174" i="1" s="1"/>
  <c r="L13" i="1"/>
  <c r="L116" i="1"/>
  <c r="M104" i="1"/>
  <c r="M108" i="1" s="1"/>
  <c r="M123" i="1"/>
  <c r="L162" i="1" l="1"/>
  <c r="L164" i="1" s="1"/>
  <c r="L165" i="1" s="1"/>
  <c r="L14" i="1" s="1"/>
  <c r="M119" i="1"/>
  <c r="L170" i="1"/>
  <c r="L169" i="1" s="1"/>
  <c r="L167" i="1" s="1"/>
  <c r="M160" i="1"/>
  <c r="M110" i="1"/>
  <c r="M161" i="1" s="1"/>
  <c r="L158" i="1" l="1"/>
  <c r="M112" i="1"/>
  <c r="M183" i="1"/>
  <c r="M182" i="1" s="1"/>
  <c r="N122" i="1"/>
  <c r="N104" i="1" l="1"/>
  <c r="N108" i="1" s="1"/>
  <c r="N123" i="1"/>
  <c r="M125" i="1"/>
  <c r="M13" i="1"/>
  <c r="M113" i="1"/>
  <c r="M178" i="1"/>
  <c r="M114" i="1"/>
  <c r="N119" i="1" l="1"/>
  <c r="M179" i="1"/>
  <c r="M176" i="1" s="1"/>
  <c r="M174" i="1" s="1"/>
  <c r="M162" i="1"/>
  <c r="M164" i="1" s="1"/>
  <c r="M165" i="1" s="1"/>
  <c r="M116" i="1"/>
  <c r="N110" i="1"/>
  <c r="N161" i="1" s="1"/>
  <c r="N112" i="1" l="1"/>
  <c r="M170" i="1"/>
  <c r="M169" i="1" s="1"/>
  <c r="M167" i="1" s="1"/>
  <c r="M158" i="1"/>
  <c r="N160" i="1"/>
  <c r="M14" i="1"/>
  <c r="N183" i="1"/>
  <c r="N182" i="1" s="1"/>
  <c r="O122" i="1"/>
  <c r="O104" i="1" l="1"/>
  <c r="O108" i="1" s="1"/>
  <c r="O123" i="1"/>
  <c r="N113" i="1"/>
  <c r="N125" i="1"/>
  <c r="N13" i="1"/>
  <c r="N114" i="1"/>
  <c r="N178" i="1"/>
  <c r="O119" i="1" l="1"/>
  <c r="O183" i="1" s="1"/>
  <c r="O182" i="1" s="1"/>
  <c r="N179" i="1"/>
  <c r="N176" i="1" s="1"/>
  <c r="N174" i="1" s="1"/>
  <c r="N116" i="1"/>
  <c r="N162" i="1"/>
  <c r="N164" i="1" s="1"/>
  <c r="N165" i="1" s="1"/>
  <c r="O110" i="1"/>
  <c r="O161" i="1" s="1"/>
  <c r="P108" i="1"/>
  <c r="O112" i="1" l="1"/>
  <c r="N170" i="1"/>
  <c r="N169" i="1" s="1"/>
  <c r="N167" i="1" s="1"/>
  <c r="N158" i="1"/>
  <c r="O160" i="1"/>
  <c r="N14" i="1"/>
  <c r="O125" i="1" l="1"/>
  <c r="O113" i="1"/>
  <c r="O13" i="1"/>
  <c r="P112" i="1"/>
  <c r="O114" i="1"/>
  <c r="C8" i="1" s="1"/>
  <c r="O178" i="1"/>
  <c r="O179" i="1" l="1"/>
  <c r="O176" i="1" s="1"/>
  <c r="O162" i="1"/>
  <c r="O164" i="1" s="1"/>
  <c r="O165" i="1" s="1"/>
  <c r="O116" i="1"/>
  <c r="P116" i="1" s="1"/>
  <c r="E8" i="1"/>
  <c r="F8" i="1" s="1"/>
  <c r="C186" i="1"/>
  <c r="O174" i="1" l="1"/>
  <c r="O186" i="1"/>
  <c r="O170" i="1"/>
  <c r="O169" i="1" s="1"/>
  <c r="O158" i="1"/>
  <c r="O14" i="1"/>
  <c r="C9" i="1"/>
  <c r="E9" i="1" s="1"/>
  <c r="F9" i="1" s="1"/>
  <c r="O1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ID#AAABkWFDaOM
    (2025-05-23 10:25:26)
копируем значения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GXBsIDK7WXvduoyH6dLAt12HmQ=="/>
    </ext>
  </extLst>
</comments>
</file>

<file path=xl/sharedStrings.xml><?xml version="1.0" encoding="utf-8"?>
<sst xmlns="http://schemas.openxmlformats.org/spreadsheetml/2006/main" count="156" uniqueCount="135">
  <si>
    <t>Финансовая модель</t>
  </si>
  <si>
    <t>Отклонение</t>
  </si>
  <si>
    <t>В процентах</t>
  </si>
  <si>
    <t>Выручка за год</t>
  </si>
  <si>
    <t>Читая прибыль за год</t>
  </si>
  <si>
    <t>Деньги</t>
  </si>
  <si>
    <t>Выручка в месяц</t>
  </si>
  <si>
    <t>Точка безубыточности</t>
  </si>
  <si>
    <t>Чистая прибыль в месяц</t>
  </si>
  <si>
    <t>Деньги на конец месяца</t>
  </si>
  <si>
    <t>период —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</si>
  <si>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</si>
  <si>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</si>
  <si>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</si>
  <si>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</si>
  <si>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</si>
  <si>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</si>
  <si>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</si>
  <si>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</si>
  <si>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</si>
  <si>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</si>
  <si>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</si>
  <si>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</si>
  <si>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</si>
  <si>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1. Выручка</t>
  </si>
  <si>
    <t>Кроватки детские, матрасы и аксессуары</t>
  </si>
  <si>
    <t>ВБ</t>
  </si>
  <si>
    <t>Уникальные посетители всего</t>
  </si>
  <si>
    <t>Процент роста посетителей</t>
  </si>
  <si>
    <t>CV1 (конверсия в просмотр карточки)</t>
  </si>
  <si>
    <t>Уникальные посетители с просмотром карточки товара</t>
  </si>
  <si>
    <t>CV2 (конверсия в корзину)</t>
  </si>
  <si>
    <t>Конверсия в корзину из карточки товара</t>
  </si>
  <si>
    <t>CV3 (конверсия в заказ)</t>
  </si>
  <si>
    <t>Конверсия в заказ из корзины</t>
  </si>
  <si>
    <t>Отмены и возвраты</t>
  </si>
  <si>
    <t>Итого заказов</t>
  </si>
  <si>
    <t>Средний чек</t>
  </si>
  <si>
    <t>Коэффициент сезонности</t>
  </si>
  <si>
    <t>Кроватки подростковые</t>
  </si>
  <si>
    <t>Переменные расходы</t>
  </si>
  <si>
    <t>Кроватки детские и аксессуары</t>
  </si>
  <si>
    <t>Себестоимость материалов (товаров, продуктов)</t>
  </si>
  <si>
    <t>Комиссия МП</t>
  </si>
  <si>
    <t>Логистика МП</t>
  </si>
  <si>
    <t>Маржинальная прибыль</t>
  </si>
  <si>
    <t>Рентабельность по маржинальной прибыли, %</t>
  </si>
  <si>
    <t>Маржинальная прибыль направление 1</t>
  </si>
  <si>
    <t>Рентабельность по маржинальной прибыли направления 1, %</t>
  </si>
  <si>
    <t>Маржинальная прибыль направление 2</t>
  </si>
  <si>
    <t>Рентабельность по маржинальной прибыли направления 2, %</t>
  </si>
  <si>
    <t>Общепроизводственные расходы</t>
  </si>
  <si>
    <t>Упаковка, кроме паллетов</t>
  </si>
  <si>
    <t>Доставка до склада МП</t>
  </si>
  <si>
    <t>Доставка на наш склад</t>
  </si>
  <si>
    <t>Мешки/паллеты</t>
  </si>
  <si>
    <t>Разгрузка</t>
  </si>
  <si>
    <t>Комплектация</t>
  </si>
  <si>
    <t>Аренда склада</t>
  </si>
  <si>
    <t>Возвраты, СДЭК и проч.</t>
  </si>
  <si>
    <t>Валовая прибыль</t>
  </si>
  <si>
    <t>Рентабельность по валовой прибыли, %</t>
  </si>
  <si>
    <t>Косвенные расходы</t>
  </si>
  <si>
    <t>Косвенные  административные</t>
  </si>
  <si>
    <t>Зарплата адм. персонала</t>
  </si>
  <si>
    <t>Аренда офиса</t>
  </si>
  <si>
    <t>Коммунальные услуги</t>
  </si>
  <si>
    <t>Доставка запчастей</t>
  </si>
  <si>
    <t>Бухгалтерские</t>
  </si>
  <si>
    <t>Обслуживание Р/с</t>
  </si>
  <si>
    <t>РКО</t>
  </si>
  <si>
    <t>Сервисы ИТ/ПО</t>
  </si>
  <si>
    <t>Косвенные  коммерческие</t>
  </si>
  <si>
    <t>Зарплата коммерч. персонала</t>
  </si>
  <si>
    <t>Реклама</t>
  </si>
  <si>
    <t xml:space="preserve">Отзывы </t>
  </si>
  <si>
    <t>Реклама ВБ</t>
  </si>
  <si>
    <t>Контент</t>
  </si>
  <si>
    <t>Самовыкупы</t>
  </si>
  <si>
    <t>Операционная прибыль (EBITDA)</t>
  </si>
  <si>
    <t>Рентабельность по операционной прибыли, %</t>
  </si>
  <si>
    <t>Кредиты</t>
  </si>
  <si>
    <t>Стоиомсть ОС</t>
  </si>
  <si>
    <t>Амортизация</t>
  </si>
  <si>
    <t>Прибыль до налогооблажения</t>
  </si>
  <si>
    <t>Налоги</t>
  </si>
  <si>
    <t>Чистая прибыль</t>
  </si>
  <si>
    <t>Рентабельность по чистой прибыли, %</t>
  </si>
  <si>
    <t>ЧП накопленным итогом</t>
  </si>
  <si>
    <t>2. Финансовая деятельность</t>
  </si>
  <si>
    <t>Кредит</t>
  </si>
  <si>
    <t>Остаток кредита</t>
  </si>
  <si>
    <t>Ставка</t>
  </si>
  <si>
    <t>Ежемесячный платеж</t>
  </si>
  <si>
    <t>%%</t>
  </si>
  <si>
    <t>Тело долга</t>
  </si>
  <si>
    <t xml:space="preserve">Дивиденды </t>
  </si>
  <si>
    <t>3. Инвестиционная деятельность</t>
  </si>
  <si>
    <t>Вложения от собственника</t>
  </si>
  <si>
    <t>4. Операционный оборотный капитал</t>
  </si>
  <si>
    <t>Изменение оборотного капитала</t>
  </si>
  <si>
    <t>Запасы</t>
  </si>
  <si>
    <t>Период оборота запасов, дн</t>
  </si>
  <si>
    <t>Запасы на начало месяца</t>
  </si>
  <si>
    <t>Запасы на конец месяца</t>
  </si>
  <si>
    <t>Изменение запасов</t>
  </si>
  <si>
    <t>Дебиторская задолженность покупатели</t>
  </si>
  <si>
    <t>Период оборота ДЗ, дн</t>
  </si>
  <si>
    <t>ДЗ на начало месяца</t>
  </si>
  <si>
    <t>ДЗ на конец месяца</t>
  </si>
  <si>
    <t>Изменение ДЗ</t>
  </si>
  <si>
    <t>Дебиторская задолженность поставщики</t>
  </si>
  <si>
    <t>Кредиторская задолженность поставщики</t>
  </si>
  <si>
    <t>Период оборота КЗ, дн</t>
  </si>
  <si>
    <t>КЗ на начало месяца</t>
  </si>
  <si>
    <t>КЗ на конец месяца</t>
  </si>
  <si>
    <t>Изменение КЗ</t>
  </si>
  <si>
    <t>5.ДДС</t>
  </si>
  <si>
    <t>Деньги на начало месяца</t>
  </si>
  <si>
    <t>Денежный поток по операционной деятельности</t>
  </si>
  <si>
    <t>Денежный поток по финансовой деятельности</t>
  </si>
  <si>
    <t>Денежный поток по инвестиционной деятельности</t>
  </si>
  <si>
    <t>Чистый денежный поток</t>
  </si>
  <si>
    <t>6. Баланс</t>
  </si>
  <si>
    <t>Активы</t>
  </si>
  <si>
    <t>ДЗ</t>
  </si>
  <si>
    <t>Пассивы</t>
  </si>
  <si>
    <t>Собственный капитал</t>
  </si>
  <si>
    <t>Уставной капитал</t>
  </si>
  <si>
    <t>Накопленная прибыль</t>
  </si>
  <si>
    <t>Дивиденды</t>
  </si>
  <si>
    <t>Обязательства</t>
  </si>
  <si>
    <t>Кредиты и займы</t>
  </si>
  <si>
    <t>Кредиторская задолженность</t>
  </si>
  <si>
    <t>ROE (Рентабельность собственного капитала) 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</si>
</sst>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sz val="11"/>
      <color rgb="FF7E3794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3" fontId="3" fillId="2" borderId="1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3" fontId="3" fillId="4" borderId="1" xfId="0" applyNumberFormat="1" applyFont="1" applyFill="1" applyBorder="1" applyAlignment="1">
      <alignment horizontal="left" vertical="top" wrapText="1"/>
    </xf>
    <xf numFmtId="3" fontId="1" fillId="5" borderId="1" xfId="0" applyNumberFormat="1" applyFont="1" applyFill="1" applyBorder="1" applyAlignment="1">
      <alignment horizontal="left" vertical="top" wrapText="1"/>
    </xf>
    <xf numFmtId="3" fontId="3" fillId="5" borderId="1" xfId="0" applyNumberFormat="1" applyFont="1" applyFill="1" applyBorder="1" applyAlignment="1">
      <alignment horizontal="left" vertical="top" wrapText="1"/>
    </xf>
    <xf numFmtId="3" fontId="1" fillId="6" borderId="1" xfId="0" applyNumberFormat="1" applyFont="1" applyFill="1" applyBorder="1" applyAlignment="1">
      <alignment horizontal="left" vertical="top" wrapText="1"/>
    </xf>
    <xf numFmtId="9" fontId="1" fillId="6" borderId="1" xfId="0" applyNumberFormat="1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0" fontId="1" fillId="6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165" fontId="1" fillId="6" borderId="1" xfId="0" applyNumberFormat="1" applyFont="1" applyFill="1" applyBorder="1" applyAlignment="1">
      <alignment horizontal="left" vertical="top" wrapText="1"/>
    </xf>
    <xf numFmtId="3" fontId="1" fillId="7" borderId="1" xfId="0" applyNumberFormat="1" applyFont="1" applyFill="1" applyBorder="1" applyAlignment="1">
      <alignment horizontal="left" vertical="top" wrapText="1"/>
    </xf>
    <xf numFmtId="3" fontId="5" fillId="7" borderId="1" xfId="0" applyNumberFormat="1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0" fontId="6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4" fontId="1" fillId="6" borderId="1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9" fontId="9" fillId="0" borderId="1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0" borderId="0" xfId="0" applyBorder="1"/>
    <xf numFmtId="0" fontId="0" fillId="8" borderId="0" xfId="0" applyFill="1" applyBorder="1" applyAlignment="1">
      <alignment vertical="center"/>
    </xf>
    <xf numFmtId="0" fontId="0" fillId="9" borderId="0" xfId="0" applyFill="1" applyBorder="1"/>
    <xf numFmtId="3" fontId="3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137926</xdr:rowOff>
    </xdr:from>
    <xdr:to>
      <xdr:col>1</xdr:col>
      <xdr:colOff>1516380</xdr:colOff>
      <xdr:row>3</xdr:row>
      <xdr:rowOff>46145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8AAB81F-8B69-EEC6-FCA4-539D177BC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328426"/>
          <a:ext cx="1455420" cy="479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4"/>
  <sheetViews>
    <sheetView tabSelected="1" topLeftCell="A166" workbookViewId="0">
      <selection activeCell="D97" sqref="D97"/>
    </sheetView>
  </sheetViews>
  <sheetFormatPr defaultColWidth="12.6640625" defaultRowHeight="15" customHeight="1" x14ac:dyDescent="0.25"/>
  <cols>
    <col min="1" max="1" width="8.77734375" customWidth="1"/>
    <col min="2" max="2" width="45.44140625" customWidth="1"/>
    <col min="3" max="6" width="12.6640625" customWidth="1"/>
  </cols>
  <sheetData>
    <row r="1" spans="1:16" s="43" customFormat="1" ht="15" customHeight="1" x14ac:dyDescent="0.25"/>
    <row r="2" spans="1:16" s="43" customFormat="1" ht="15" customHeight="1" x14ac:dyDescent="0.25"/>
    <row r="3" spans="1:16" s="42" customFormat="1" ht="15" customHeight="1" x14ac:dyDescent="0.25"/>
    <row r="4" spans="1:16" s="43" customFormat="1" ht="15" customHeight="1" x14ac:dyDescent="0.25"/>
    <row r="5" spans="1:16" s="41" customFormat="1" ht="15.75" customHeight="1" x14ac:dyDescent="0.25">
      <c r="A5" s="45"/>
      <c r="B5" s="46" t="s">
        <v>0</v>
      </c>
      <c r="C5" s="45"/>
      <c r="D5" s="45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40" customFormat="1" ht="15.75" customHeight="1" x14ac:dyDescent="0.25">
      <c r="A6" s="38"/>
      <c r="B6" s="39"/>
      <c r="C6" s="38"/>
      <c r="D6" s="38"/>
      <c r="E6" s="44" t="s">
        <v>1</v>
      </c>
      <c r="F6" s="44" t="s">
        <v>2</v>
      </c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3" customFormat="1" ht="15.75" customHeight="1" x14ac:dyDescent="0.25">
      <c r="A7" s="1"/>
      <c r="B7" s="4" t="s">
        <v>3</v>
      </c>
      <c r="C7" s="5">
        <f>SUM(D16:O16)</f>
        <v>79823619.967651829</v>
      </c>
      <c r="D7" s="2">
        <v>49039912.129812069</v>
      </c>
      <c r="E7" s="2">
        <f t="shared" ref="E7:E9" si="0">C7-D7</f>
        <v>30783707.83783976</v>
      </c>
      <c r="F7" s="6">
        <f>IFERROR(E7/D7,0)</f>
        <v>0.62772763043198643</v>
      </c>
      <c r="G7" s="2"/>
      <c r="H7" s="6"/>
      <c r="I7" s="7"/>
      <c r="J7" s="2"/>
      <c r="K7" s="2"/>
      <c r="L7" s="2"/>
      <c r="M7" s="2"/>
      <c r="N7" s="2"/>
      <c r="O7" s="2"/>
      <c r="P7" s="2"/>
    </row>
    <row r="8" spans="1:16" s="3" customFormat="1" ht="15.75" customHeight="1" x14ac:dyDescent="0.25">
      <c r="A8" s="1"/>
      <c r="B8" s="4" t="s">
        <v>4</v>
      </c>
      <c r="C8" s="5">
        <f>O114</f>
        <v>15213782.965770822</v>
      </c>
      <c r="D8" s="2">
        <v>2877865.7654917045</v>
      </c>
      <c r="E8" s="2">
        <f t="shared" si="0"/>
        <v>12335917.200279117</v>
      </c>
      <c r="F8" s="6">
        <f t="shared" ref="F8:F9" si="1">E8/D8</f>
        <v>4.2864810958864981</v>
      </c>
      <c r="G8" s="2"/>
      <c r="H8" s="2"/>
      <c r="I8" s="2"/>
      <c r="J8" s="2"/>
      <c r="K8" s="7"/>
      <c r="L8" s="2"/>
      <c r="M8" s="2"/>
      <c r="N8" s="2"/>
      <c r="O8" s="2"/>
      <c r="P8" s="2"/>
    </row>
    <row r="9" spans="1:16" s="3" customFormat="1" ht="15.75" customHeight="1" x14ac:dyDescent="0.25">
      <c r="A9" s="1"/>
      <c r="B9" s="4" t="s">
        <v>5</v>
      </c>
      <c r="C9" s="5">
        <f>O165</f>
        <v>15999124.859851437</v>
      </c>
      <c r="D9" s="2">
        <v>2483323.6161134606</v>
      </c>
      <c r="E9" s="2">
        <f t="shared" si="0"/>
        <v>13515801.243737977</v>
      </c>
      <c r="F9" s="6">
        <f t="shared" si="1"/>
        <v>5.4426258245354893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3" customFormat="1" ht="15.75" customHeight="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3" customFormat="1" ht="15.75" customHeight="1" x14ac:dyDescent="0.25">
      <c r="A11" s="1"/>
      <c r="B11" s="8" t="s">
        <v>6</v>
      </c>
      <c r="C11" s="1"/>
      <c r="D11" s="9">
        <f t="shared" ref="D11:O11" si="2">D16</f>
        <v>7982361.9967651833</v>
      </c>
      <c r="E11" s="9">
        <f t="shared" si="2"/>
        <v>7982361.9967651833</v>
      </c>
      <c r="F11" s="9">
        <f t="shared" si="2"/>
        <v>7982361.9967651833</v>
      </c>
      <c r="G11" s="9">
        <f t="shared" si="2"/>
        <v>6385889.5974121466</v>
      </c>
      <c r="H11" s="9">
        <f t="shared" si="2"/>
        <v>6385889.5974121466</v>
      </c>
      <c r="I11" s="9">
        <f t="shared" si="2"/>
        <v>3192944.7987060733</v>
      </c>
      <c r="J11" s="9">
        <f t="shared" si="2"/>
        <v>3192944.7987060733</v>
      </c>
      <c r="K11" s="9">
        <f t="shared" si="2"/>
        <v>4789417.19805911</v>
      </c>
      <c r="L11" s="9">
        <f t="shared" si="2"/>
        <v>7982361.9967651833</v>
      </c>
      <c r="M11" s="9">
        <f t="shared" si="2"/>
        <v>7982361.9967651833</v>
      </c>
      <c r="N11" s="9">
        <f t="shared" si="2"/>
        <v>7982361.9967651833</v>
      </c>
      <c r="O11" s="9">
        <f t="shared" si="2"/>
        <v>7982361.9967651833</v>
      </c>
      <c r="P11" s="2"/>
    </row>
    <row r="12" spans="1:16" s="3" customFormat="1" ht="15.75" customHeight="1" x14ac:dyDescent="0.25">
      <c r="A12" s="1"/>
      <c r="B12" s="8" t="s">
        <v>7</v>
      </c>
      <c r="C12" s="1"/>
      <c r="D12" s="9">
        <f t="shared" ref="D12:O12" si="3">IFERROR(-(D79+D65)/D57,0)</f>
        <v>3037791.9894684586</v>
      </c>
      <c r="E12" s="9">
        <f t="shared" si="3"/>
        <v>3037791.9894684586</v>
      </c>
      <c r="F12" s="9">
        <f t="shared" si="3"/>
        <v>3037791.9894684586</v>
      </c>
      <c r="G12" s="9">
        <f t="shared" si="3"/>
        <v>2907768.4676785511</v>
      </c>
      <c r="H12" s="9">
        <f t="shared" si="3"/>
        <v>2907768.4676785511</v>
      </c>
      <c r="I12" s="9">
        <f t="shared" si="3"/>
        <v>2647721.4240987343</v>
      </c>
      <c r="J12" s="9">
        <f t="shared" si="3"/>
        <v>2647721.4240987343</v>
      </c>
      <c r="K12" s="9">
        <f t="shared" si="3"/>
        <v>2777744.9458886418</v>
      </c>
      <c r="L12" s="9">
        <f t="shared" si="3"/>
        <v>3037791.9894684586</v>
      </c>
      <c r="M12" s="9">
        <f t="shared" si="3"/>
        <v>3037791.9894684586</v>
      </c>
      <c r="N12" s="9">
        <f t="shared" si="3"/>
        <v>3037791.9894684586</v>
      </c>
      <c r="O12" s="9">
        <f t="shared" si="3"/>
        <v>3037791.9894684586</v>
      </c>
      <c r="P12" s="2"/>
    </row>
    <row r="13" spans="1:16" s="3" customFormat="1" ht="15.75" customHeight="1" x14ac:dyDescent="0.25">
      <c r="A13" s="1"/>
      <c r="B13" s="8" t="s">
        <v>8</v>
      </c>
      <c r="C13" s="1"/>
      <c r="D13" s="9">
        <f t="shared" ref="D13:O13" si="4">D112</f>
        <v>1681598.539151727</v>
      </c>
      <c r="E13" s="9">
        <f t="shared" si="4"/>
        <v>1683241.9881517272</v>
      </c>
      <c r="F13" s="9">
        <f t="shared" si="4"/>
        <v>1684901.8716417272</v>
      </c>
      <c r="G13" s="9">
        <f t="shared" si="4"/>
        <v>1178821.8146162811</v>
      </c>
      <c r="H13" s="9">
        <f t="shared" si="4"/>
        <v>1180515.06176443</v>
      </c>
      <c r="I13" s="9">
        <f t="shared" si="4"/>
        <v>166712.16268337006</v>
      </c>
      <c r="J13" s="9">
        <f t="shared" si="4"/>
        <v>168439.44409919684</v>
      </c>
      <c r="K13" s="9">
        <f t="shared" si="4"/>
        <v>677940.53767952765</v>
      </c>
      <c r="L13" s="9">
        <f t="shared" si="4"/>
        <v>1695215.6161525033</v>
      </c>
      <c r="M13" s="9">
        <f t="shared" si="4"/>
        <v>1696995.235922511</v>
      </c>
      <c r="N13" s="9">
        <f t="shared" si="4"/>
        <v>1698792.651890219</v>
      </c>
      <c r="O13" s="9">
        <f t="shared" si="4"/>
        <v>1700608.042017604</v>
      </c>
      <c r="P13" s="2"/>
    </row>
    <row r="14" spans="1:16" s="3" customFormat="1" ht="15.75" customHeight="1" x14ac:dyDescent="0.25">
      <c r="A14" s="1"/>
      <c r="B14" s="8" t="s">
        <v>9</v>
      </c>
      <c r="C14" s="1"/>
      <c r="D14" s="9">
        <f t="shared" ref="D14:O14" si="5">D165</f>
        <v>3205092.1650217515</v>
      </c>
      <c r="E14" s="9">
        <f t="shared" si="5"/>
        <v>5055240.0684268177</v>
      </c>
      <c r="F14" s="9">
        <f t="shared" si="5"/>
        <v>6819813.7894614656</v>
      </c>
      <c r="G14" s="9">
        <f t="shared" si="5"/>
        <v>9169572.9111561105</v>
      </c>
      <c r="H14" s="9">
        <f t="shared" si="5"/>
        <v>10346290.811917618</v>
      </c>
      <c r="I14" s="9">
        <f t="shared" si="5"/>
        <v>12786454.333263135</v>
      </c>
      <c r="J14" s="9">
        <f t="shared" si="5"/>
        <v>12958145.309687274</v>
      </c>
      <c r="K14" s="9">
        <f t="shared" si="5"/>
        <v>12438724.155706797</v>
      </c>
      <c r="L14" s="9">
        <f t="shared" si="5"/>
        <v>11690882.408422675</v>
      </c>
      <c r="M14" s="9">
        <f t="shared" si="5"/>
        <v>13145995.109960333</v>
      </c>
      <c r="N14" s="9">
        <f t="shared" si="5"/>
        <v>14580974.765579568</v>
      </c>
      <c r="O14" s="9">
        <f t="shared" si="5"/>
        <v>15999124.859851437</v>
      </c>
      <c r="P14" s="2"/>
    </row>
    <row r="15" spans="1:16" s="3" customFormat="1" ht="15.75" customHeight="1" x14ac:dyDescent="0.25">
      <c r="A15" s="1"/>
      <c r="B15" s="1"/>
      <c r="C15" s="1" t="s">
        <v>10</v>
      </c>
      <c r="D15" s="2" t="s">
        <v>11</v>
      </c>
      <c r="E15" s="2" t="s">
        <v>12</v>
      </c>
      <c r="F15" s="2" t="s">
        <v>13</v>
      </c>
      <c r="G15" s="2" t="s">
        <v>14</v>
      </c>
      <c r="H15" s="2" t="s">
        <v>15</v>
      </c>
      <c r="I15" s="2" t="s">
        <v>16</v>
      </c>
      <c r="J15" s="2" t="s">
        <v>17</v>
      </c>
      <c r="K15" s="2" t="s">
        <v>18</v>
      </c>
      <c r="L15" s="2" t="s">
        <v>19</v>
      </c>
      <c r="M15" s="2" t="s">
        <v>20</v>
      </c>
      <c r="N15" s="2" t="s">
        <v>21</v>
      </c>
      <c r="O15" s="2" t="s">
        <v>22</v>
      </c>
      <c r="P15" s="2" t="s">
        <v>23</v>
      </c>
    </row>
    <row r="16" spans="1:16" s="3" customFormat="1" ht="15.75" customHeight="1" x14ac:dyDescent="0.25">
      <c r="A16" s="5"/>
      <c r="B16" s="10" t="s">
        <v>24</v>
      </c>
      <c r="C16" s="11"/>
      <c r="D16" s="10">
        <f t="shared" ref="D16:O16" si="6">D19+D34</f>
        <v>7982361.9967651833</v>
      </c>
      <c r="E16" s="10">
        <f t="shared" si="6"/>
        <v>7982361.9967651833</v>
      </c>
      <c r="F16" s="10">
        <f t="shared" si="6"/>
        <v>7982361.9967651833</v>
      </c>
      <c r="G16" s="10">
        <f t="shared" si="6"/>
        <v>6385889.5974121466</v>
      </c>
      <c r="H16" s="10">
        <f t="shared" si="6"/>
        <v>6385889.5974121466</v>
      </c>
      <c r="I16" s="10">
        <f t="shared" si="6"/>
        <v>3192944.7987060733</v>
      </c>
      <c r="J16" s="10">
        <f t="shared" si="6"/>
        <v>3192944.7987060733</v>
      </c>
      <c r="K16" s="10">
        <f t="shared" si="6"/>
        <v>4789417.19805911</v>
      </c>
      <c r="L16" s="10">
        <f t="shared" si="6"/>
        <v>7982361.9967651833</v>
      </c>
      <c r="M16" s="10">
        <f t="shared" si="6"/>
        <v>7982361.9967651833</v>
      </c>
      <c r="N16" s="10">
        <f t="shared" si="6"/>
        <v>7982361.9967651833</v>
      </c>
      <c r="O16" s="10">
        <f t="shared" si="6"/>
        <v>7982361.9967651833</v>
      </c>
      <c r="P16" s="10">
        <f>SUM(D16:O16)</f>
        <v>79823619.967651829</v>
      </c>
    </row>
    <row r="17" spans="1:16" s="3" customFormat="1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3" customFormat="1" ht="15.75" customHeight="1" x14ac:dyDescent="0.25">
      <c r="A18" s="12"/>
      <c r="B18" s="12" t="s">
        <v>25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s="3" customFormat="1" ht="15.75" customHeight="1" x14ac:dyDescent="0.25">
      <c r="A19" s="13"/>
      <c r="B19" s="14" t="s">
        <v>26</v>
      </c>
      <c r="C19" s="13"/>
      <c r="D19" s="14">
        <f t="shared" ref="D19:O19" si="7">D29*$C$30*D31</f>
        <v>7323840.8577000005</v>
      </c>
      <c r="E19" s="14">
        <f t="shared" si="7"/>
        <v>7323840.8577000005</v>
      </c>
      <c r="F19" s="14">
        <f t="shared" si="7"/>
        <v>7323840.8577000005</v>
      </c>
      <c r="G19" s="14">
        <f t="shared" si="7"/>
        <v>5859072.686160001</v>
      </c>
      <c r="H19" s="14">
        <f t="shared" si="7"/>
        <v>5859072.686160001</v>
      </c>
      <c r="I19" s="14">
        <f t="shared" si="7"/>
        <v>2929536.3430800005</v>
      </c>
      <c r="J19" s="14">
        <f t="shared" si="7"/>
        <v>2929536.3430800005</v>
      </c>
      <c r="K19" s="14">
        <f t="shared" si="7"/>
        <v>4394304.5146200005</v>
      </c>
      <c r="L19" s="14">
        <f t="shared" si="7"/>
        <v>7323840.8577000005</v>
      </c>
      <c r="M19" s="14">
        <f t="shared" si="7"/>
        <v>7323840.8577000005</v>
      </c>
      <c r="N19" s="14">
        <f t="shared" si="7"/>
        <v>7323840.8577000005</v>
      </c>
      <c r="O19" s="14">
        <f t="shared" si="7"/>
        <v>7323840.8577000005</v>
      </c>
      <c r="P19" s="14">
        <f>SUM(D19:O19)</f>
        <v>73238408.576999992</v>
      </c>
    </row>
    <row r="20" spans="1:16" s="3" customFormat="1" ht="15.75" customHeight="1" x14ac:dyDescent="0.25">
      <c r="A20" s="2"/>
      <c r="B20" s="2" t="s">
        <v>27</v>
      </c>
      <c r="C20" s="15">
        <f>(2860707-203132)/12</f>
        <v>221464.58333333334</v>
      </c>
      <c r="D20" s="2">
        <f t="shared" ref="D20:O20" si="8">$C$20+(C20*$C$21)</f>
        <v>225893.875</v>
      </c>
      <c r="E20" s="2">
        <f t="shared" si="8"/>
        <v>225982.46083333335</v>
      </c>
      <c r="F20" s="2">
        <f t="shared" si="8"/>
        <v>225984.23255000002</v>
      </c>
      <c r="G20" s="2">
        <f t="shared" si="8"/>
        <v>225984.26798433333</v>
      </c>
      <c r="H20" s="2">
        <f t="shared" si="8"/>
        <v>225984.26869302001</v>
      </c>
      <c r="I20" s="2">
        <f t="shared" si="8"/>
        <v>225984.26870719375</v>
      </c>
      <c r="J20" s="2">
        <f t="shared" si="8"/>
        <v>225984.26870747723</v>
      </c>
      <c r="K20" s="2">
        <f t="shared" si="8"/>
        <v>225984.2687074829</v>
      </c>
      <c r="L20" s="2">
        <f t="shared" si="8"/>
        <v>225984.26870748299</v>
      </c>
      <c r="M20" s="2">
        <f t="shared" si="8"/>
        <v>225984.26870748302</v>
      </c>
      <c r="N20" s="2">
        <f t="shared" si="8"/>
        <v>225984.26870748302</v>
      </c>
      <c r="O20" s="2">
        <f t="shared" si="8"/>
        <v>225984.26870748302</v>
      </c>
      <c r="P20" s="2"/>
    </row>
    <row r="21" spans="1:16" s="3" customFormat="1" ht="15.75" customHeight="1" x14ac:dyDescent="0.25">
      <c r="A21" s="2"/>
      <c r="B21" s="2" t="s">
        <v>28</v>
      </c>
      <c r="C21" s="16">
        <v>0.02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3" customFormat="1" ht="15.75" customHeight="1" x14ac:dyDescent="0.25">
      <c r="A22" s="1"/>
      <c r="B22" s="1" t="s">
        <v>29</v>
      </c>
      <c r="C22" s="17">
        <v>7.9000000000000001E-2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3" customFormat="1" ht="15.75" customHeight="1" x14ac:dyDescent="0.25">
      <c r="A23" s="2"/>
      <c r="B23" s="1" t="s">
        <v>30</v>
      </c>
      <c r="C23" s="15"/>
      <c r="D23" s="2">
        <f t="shared" ref="D23:O23" si="9">D20*$C$22</f>
        <v>17845.616125</v>
      </c>
      <c r="E23" s="2">
        <f t="shared" si="9"/>
        <v>17852.614405833334</v>
      </c>
      <c r="F23" s="2">
        <f t="shared" si="9"/>
        <v>17852.754371450003</v>
      </c>
      <c r="G23" s="2">
        <f t="shared" si="9"/>
        <v>17852.757170762332</v>
      </c>
      <c r="H23" s="2">
        <f t="shared" si="9"/>
        <v>17852.757226748581</v>
      </c>
      <c r="I23" s="2">
        <f t="shared" si="9"/>
        <v>17852.757227868307</v>
      </c>
      <c r="J23" s="2">
        <f t="shared" si="9"/>
        <v>17852.757227890703</v>
      </c>
      <c r="K23" s="2">
        <f t="shared" si="9"/>
        <v>17852.75722789115</v>
      </c>
      <c r="L23" s="2">
        <f t="shared" si="9"/>
        <v>17852.757227891158</v>
      </c>
      <c r="M23" s="2">
        <f t="shared" si="9"/>
        <v>17852.757227891158</v>
      </c>
      <c r="N23" s="2">
        <f t="shared" si="9"/>
        <v>17852.757227891158</v>
      </c>
      <c r="O23" s="2">
        <f t="shared" si="9"/>
        <v>17852.757227891158</v>
      </c>
      <c r="P23" s="2"/>
    </row>
    <row r="24" spans="1:16" s="3" customFormat="1" ht="15.75" customHeight="1" x14ac:dyDescent="0.25">
      <c r="A24" s="1"/>
      <c r="B24" s="1" t="s">
        <v>31</v>
      </c>
      <c r="C24" s="17">
        <v>0.2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3" customFormat="1" ht="15.75" customHeight="1" x14ac:dyDescent="0.25">
      <c r="A25" s="1"/>
      <c r="B25" s="1" t="s">
        <v>32</v>
      </c>
      <c r="C25" s="15"/>
      <c r="D25" s="2">
        <f t="shared" ref="D25:O25" si="10">$D$23*$C$24</f>
        <v>3569.1232250000003</v>
      </c>
      <c r="E25" s="2">
        <f t="shared" si="10"/>
        <v>3569.1232250000003</v>
      </c>
      <c r="F25" s="2">
        <f t="shared" si="10"/>
        <v>3569.1232250000003</v>
      </c>
      <c r="G25" s="2">
        <f t="shared" si="10"/>
        <v>3569.1232250000003</v>
      </c>
      <c r="H25" s="2">
        <f t="shared" si="10"/>
        <v>3569.1232250000003</v>
      </c>
      <c r="I25" s="2">
        <f t="shared" si="10"/>
        <v>3569.1232250000003</v>
      </c>
      <c r="J25" s="2">
        <f t="shared" si="10"/>
        <v>3569.1232250000003</v>
      </c>
      <c r="K25" s="2">
        <f t="shared" si="10"/>
        <v>3569.1232250000003</v>
      </c>
      <c r="L25" s="2">
        <f t="shared" si="10"/>
        <v>3569.1232250000003</v>
      </c>
      <c r="M25" s="2">
        <f t="shared" si="10"/>
        <v>3569.1232250000003</v>
      </c>
      <c r="N25" s="2">
        <f t="shared" si="10"/>
        <v>3569.1232250000003</v>
      </c>
      <c r="O25" s="2">
        <f t="shared" si="10"/>
        <v>3569.1232250000003</v>
      </c>
      <c r="P25" s="2"/>
    </row>
    <row r="26" spans="1:16" s="3" customFormat="1" ht="15.75" customHeight="1" x14ac:dyDescent="0.25">
      <c r="A26" s="1"/>
      <c r="B26" s="1" t="s">
        <v>33</v>
      </c>
      <c r="C26" s="17">
        <v>0.5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3" customFormat="1" ht="15.75" customHeight="1" x14ac:dyDescent="0.25">
      <c r="A27" s="1"/>
      <c r="B27" s="1" t="s">
        <v>34</v>
      </c>
      <c r="C27" s="15"/>
      <c r="D27" s="2">
        <f t="shared" ref="D27:O27" si="11">D25*$C$26</f>
        <v>1784.5616125000001</v>
      </c>
      <c r="E27" s="2">
        <f t="shared" si="11"/>
        <v>1784.5616125000001</v>
      </c>
      <c r="F27" s="2">
        <f t="shared" si="11"/>
        <v>1784.5616125000001</v>
      </c>
      <c r="G27" s="2">
        <f t="shared" si="11"/>
        <v>1784.5616125000001</v>
      </c>
      <c r="H27" s="2">
        <f t="shared" si="11"/>
        <v>1784.5616125000001</v>
      </c>
      <c r="I27" s="2">
        <f t="shared" si="11"/>
        <v>1784.5616125000001</v>
      </c>
      <c r="J27" s="2">
        <f t="shared" si="11"/>
        <v>1784.5616125000001</v>
      </c>
      <c r="K27" s="2">
        <f t="shared" si="11"/>
        <v>1784.5616125000001</v>
      </c>
      <c r="L27" s="2">
        <f t="shared" si="11"/>
        <v>1784.5616125000001</v>
      </c>
      <c r="M27" s="2">
        <f t="shared" si="11"/>
        <v>1784.5616125000001</v>
      </c>
      <c r="N27" s="2">
        <f t="shared" si="11"/>
        <v>1784.5616125000001</v>
      </c>
      <c r="O27" s="2">
        <f t="shared" si="11"/>
        <v>1784.5616125000001</v>
      </c>
      <c r="P27" s="2"/>
    </row>
    <row r="28" spans="1:16" s="3" customFormat="1" ht="15.75" customHeight="1" x14ac:dyDescent="0.25">
      <c r="A28" s="1"/>
      <c r="B28" s="1" t="s">
        <v>35</v>
      </c>
      <c r="C28" s="17">
        <v>8.7999999999999995E-2</v>
      </c>
      <c r="D28" s="2">
        <f>D27*$C$28</f>
        <v>157.04142189999999</v>
      </c>
      <c r="E28" s="2">
        <f t="shared" ref="E28:O28" si="12">D28</f>
        <v>157.04142189999999</v>
      </c>
      <c r="F28" s="2">
        <f t="shared" si="12"/>
        <v>157.04142189999999</v>
      </c>
      <c r="G28" s="2">
        <f t="shared" si="12"/>
        <v>157.04142189999999</v>
      </c>
      <c r="H28" s="2">
        <f t="shared" si="12"/>
        <v>157.04142189999999</v>
      </c>
      <c r="I28" s="2">
        <f t="shared" si="12"/>
        <v>157.04142189999999</v>
      </c>
      <c r="J28" s="2">
        <f t="shared" si="12"/>
        <v>157.04142189999999</v>
      </c>
      <c r="K28" s="2">
        <f t="shared" si="12"/>
        <v>157.04142189999999</v>
      </c>
      <c r="L28" s="2">
        <f t="shared" si="12"/>
        <v>157.04142189999999</v>
      </c>
      <c r="M28" s="2">
        <f t="shared" si="12"/>
        <v>157.04142189999999</v>
      </c>
      <c r="N28" s="2">
        <f t="shared" si="12"/>
        <v>157.04142189999999</v>
      </c>
      <c r="O28" s="2">
        <f t="shared" si="12"/>
        <v>157.04142189999999</v>
      </c>
      <c r="P28" s="2"/>
    </row>
    <row r="29" spans="1:16" s="3" customFormat="1" ht="15.75" customHeight="1" x14ac:dyDescent="0.25">
      <c r="A29" s="1"/>
      <c r="B29" s="1" t="s">
        <v>36</v>
      </c>
      <c r="C29" s="18"/>
      <c r="D29" s="2">
        <f t="shared" ref="D29:O29" si="13">D27-D28</f>
        <v>1627.5201906000002</v>
      </c>
      <c r="E29" s="2">
        <f t="shared" si="13"/>
        <v>1627.5201906000002</v>
      </c>
      <c r="F29" s="2">
        <f t="shared" si="13"/>
        <v>1627.5201906000002</v>
      </c>
      <c r="G29" s="2">
        <f t="shared" si="13"/>
        <v>1627.5201906000002</v>
      </c>
      <c r="H29" s="2">
        <f t="shared" si="13"/>
        <v>1627.5201906000002</v>
      </c>
      <c r="I29" s="2">
        <f t="shared" si="13"/>
        <v>1627.5201906000002</v>
      </c>
      <c r="J29" s="2">
        <f t="shared" si="13"/>
        <v>1627.5201906000002</v>
      </c>
      <c r="K29" s="2">
        <f t="shared" si="13"/>
        <v>1627.5201906000002</v>
      </c>
      <c r="L29" s="2">
        <f t="shared" si="13"/>
        <v>1627.5201906000002</v>
      </c>
      <c r="M29" s="2">
        <f t="shared" si="13"/>
        <v>1627.5201906000002</v>
      </c>
      <c r="N29" s="2">
        <f t="shared" si="13"/>
        <v>1627.5201906000002</v>
      </c>
      <c r="O29" s="2">
        <f t="shared" si="13"/>
        <v>1627.5201906000002</v>
      </c>
      <c r="P29" s="2"/>
    </row>
    <row r="30" spans="1:16" s="3" customFormat="1" ht="15.75" customHeight="1" x14ac:dyDescent="0.25">
      <c r="A30" s="1"/>
      <c r="B30" s="1" t="s">
        <v>37</v>
      </c>
      <c r="C30" s="15">
        <v>4500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s="3" customFormat="1" ht="15.75" customHeight="1" x14ac:dyDescent="0.25">
      <c r="A31" s="1"/>
      <c r="B31" s="19" t="s">
        <v>38</v>
      </c>
      <c r="C31" s="19"/>
      <c r="D31" s="15">
        <v>1</v>
      </c>
      <c r="E31" s="15">
        <v>1</v>
      </c>
      <c r="F31" s="15">
        <v>1</v>
      </c>
      <c r="G31" s="20">
        <v>0.8</v>
      </c>
      <c r="H31" s="20">
        <v>0.8</v>
      </c>
      <c r="I31" s="20">
        <v>0.4</v>
      </c>
      <c r="J31" s="20">
        <v>0.4</v>
      </c>
      <c r="K31" s="20">
        <v>0.6</v>
      </c>
      <c r="L31" s="15">
        <v>1</v>
      </c>
      <c r="M31" s="15">
        <v>1</v>
      </c>
      <c r="N31" s="15">
        <v>1</v>
      </c>
      <c r="O31" s="15">
        <v>1</v>
      </c>
      <c r="P31" s="2"/>
    </row>
    <row r="32" spans="1:16" s="3" customFormat="1" ht="15.75" customHeight="1" x14ac:dyDescent="0.2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3" customFormat="1" ht="15.75" customHeight="1" x14ac:dyDescent="0.25">
      <c r="A33" s="12"/>
      <c r="B33" s="12" t="s">
        <v>39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3" customFormat="1" ht="15.75" customHeight="1" x14ac:dyDescent="0.25">
      <c r="A34" s="13"/>
      <c r="B34" s="14" t="s">
        <v>26</v>
      </c>
      <c r="C34" s="13"/>
      <c r="D34" s="14">
        <f t="shared" ref="D34:O34" si="14">D41*$C$42*D43</f>
        <v>658521.13906518265</v>
      </c>
      <c r="E34" s="14">
        <f t="shared" si="14"/>
        <v>658521.13906518265</v>
      </c>
      <c r="F34" s="14">
        <f t="shared" si="14"/>
        <v>658521.13906518265</v>
      </c>
      <c r="G34" s="14">
        <f t="shared" si="14"/>
        <v>526816.91125214612</v>
      </c>
      <c r="H34" s="14">
        <f t="shared" si="14"/>
        <v>526816.91125214612</v>
      </c>
      <c r="I34" s="14">
        <f t="shared" si="14"/>
        <v>263408.45562607306</v>
      </c>
      <c r="J34" s="14">
        <f t="shared" si="14"/>
        <v>263408.45562607306</v>
      </c>
      <c r="K34" s="14">
        <f t="shared" si="14"/>
        <v>395112.68343910959</v>
      </c>
      <c r="L34" s="14">
        <f t="shared" si="14"/>
        <v>658521.13906518265</v>
      </c>
      <c r="M34" s="14">
        <f t="shared" si="14"/>
        <v>658521.13906518265</v>
      </c>
      <c r="N34" s="14">
        <f t="shared" si="14"/>
        <v>658521.13906518265</v>
      </c>
      <c r="O34" s="14">
        <f t="shared" si="14"/>
        <v>658521.13906518265</v>
      </c>
      <c r="P34" s="14">
        <f>SUM(D34:O34)</f>
        <v>6585211.3906518267</v>
      </c>
    </row>
    <row r="35" spans="1:16" s="3" customFormat="1" ht="15.75" customHeight="1" x14ac:dyDescent="0.25">
      <c r="A35" s="2"/>
      <c r="B35" s="2" t="s">
        <v>27</v>
      </c>
      <c r="C35" s="15">
        <f>203132/2.3</f>
        <v>88318.260869565231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3" customFormat="1" ht="15.75" customHeight="1" x14ac:dyDescent="0.25">
      <c r="A36" s="1"/>
      <c r="B36" s="1" t="s">
        <v>29</v>
      </c>
      <c r="C36" s="17">
        <v>0.04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3" customFormat="1" ht="15.75" customHeight="1" x14ac:dyDescent="0.25">
      <c r="A37" s="2"/>
      <c r="B37" s="1" t="s">
        <v>30</v>
      </c>
      <c r="C37" s="15"/>
      <c r="D37" s="2">
        <f t="shared" ref="D37:P37" si="15">$C$36*$C$35</f>
        <v>3532.7304347826093</v>
      </c>
      <c r="E37" s="2">
        <f t="shared" si="15"/>
        <v>3532.7304347826093</v>
      </c>
      <c r="F37" s="2">
        <f t="shared" si="15"/>
        <v>3532.7304347826093</v>
      </c>
      <c r="G37" s="2">
        <f t="shared" si="15"/>
        <v>3532.7304347826093</v>
      </c>
      <c r="H37" s="2">
        <f t="shared" si="15"/>
        <v>3532.7304347826093</v>
      </c>
      <c r="I37" s="2">
        <f t="shared" si="15"/>
        <v>3532.7304347826093</v>
      </c>
      <c r="J37" s="2">
        <f t="shared" si="15"/>
        <v>3532.7304347826093</v>
      </c>
      <c r="K37" s="2">
        <f t="shared" si="15"/>
        <v>3532.7304347826093</v>
      </c>
      <c r="L37" s="2">
        <f t="shared" si="15"/>
        <v>3532.7304347826093</v>
      </c>
      <c r="M37" s="2">
        <f t="shared" si="15"/>
        <v>3532.7304347826093</v>
      </c>
      <c r="N37" s="2">
        <f t="shared" si="15"/>
        <v>3532.7304347826093</v>
      </c>
      <c r="O37" s="2">
        <f t="shared" si="15"/>
        <v>3532.7304347826093</v>
      </c>
      <c r="P37" s="2">
        <f t="shared" si="15"/>
        <v>3532.7304347826093</v>
      </c>
    </row>
    <row r="38" spans="1:16" s="3" customFormat="1" ht="15.75" customHeight="1" x14ac:dyDescent="0.25">
      <c r="A38" s="1"/>
      <c r="B38" s="1" t="s">
        <v>31</v>
      </c>
      <c r="C38" s="17">
        <v>0.23699999999999999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3" customFormat="1" ht="15.75" customHeight="1" x14ac:dyDescent="0.25">
      <c r="A39" s="1"/>
      <c r="B39" s="1" t="s">
        <v>32</v>
      </c>
      <c r="C39" s="15"/>
      <c r="D39" s="2">
        <f t="shared" ref="D39:P39" si="16">D37*$C$38</f>
        <v>837.2571130434784</v>
      </c>
      <c r="E39" s="2">
        <f t="shared" si="16"/>
        <v>837.2571130434784</v>
      </c>
      <c r="F39" s="2">
        <f t="shared" si="16"/>
        <v>837.2571130434784</v>
      </c>
      <c r="G39" s="2">
        <f t="shared" si="16"/>
        <v>837.2571130434784</v>
      </c>
      <c r="H39" s="2">
        <f t="shared" si="16"/>
        <v>837.2571130434784</v>
      </c>
      <c r="I39" s="2">
        <f t="shared" si="16"/>
        <v>837.2571130434784</v>
      </c>
      <c r="J39" s="2">
        <f t="shared" si="16"/>
        <v>837.2571130434784</v>
      </c>
      <c r="K39" s="2">
        <f t="shared" si="16"/>
        <v>837.2571130434784</v>
      </c>
      <c r="L39" s="2">
        <f t="shared" si="16"/>
        <v>837.2571130434784</v>
      </c>
      <c r="M39" s="2">
        <f t="shared" si="16"/>
        <v>837.2571130434784</v>
      </c>
      <c r="N39" s="2">
        <f t="shared" si="16"/>
        <v>837.2571130434784</v>
      </c>
      <c r="O39" s="2">
        <f t="shared" si="16"/>
        <v>837.2571130434784</v>
      </c>
      <c r="P39" s="2">
        <f t="shared" si="16"/>
        <v>837.2571130434784</v>
      </c>
    </row>
    <row r="40" spans="1:16" s="3" customFormat="1" ht="15.75" customHeight="1" x14ac:dyDescent="0.25">
      <c r="A40" s="1"/>
      <c r="B40" s="1" t="s">
        <v>33</v>
      </c>
      <c r="C40" s="17">
        <v>0.10199999999999999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3" customFormat="1" ht="15.75" customHeight="1" x14ac:dyDescent="0.25">
      <c r="A41" s="1"/>
      <c r="B41" s="1" t="s">
        <v>34</v>
      </c>
      <c r="C41" s="15"/>
      <c r="D41" s="2">
        <f t="shared" ref="D41:P41" si="17">D39*$C$40</f>
        <v>85.400225530434795</v>
      </c>
      <c r="E41" s="2">
        <f t="shared" si="17"/>
        <v>85.400225530434795</v>
      </c>
      <c r="F41" s="2">
        <f t="shared" si="17"/>
        <v>85.400225530434795</v>
      </c>
      <c r="G41" s="2">
        <f t="shared" si="17"/>
        <v>85.400225530434795</v>
      </c>
      <c r="H41" s="2">
        <f t="shared" si="17"/>
        <v>85.400225530434795</v>
      </c>
      <c r="I41" s="2">
        <f t="shared" si="17"/>
        <v>85.400225530434795</v>
      </c>
      <c r="J41" s="2">
        <f t="shared" si="17"/>
        <v>85.400225530434795</v>
      </c>
      <c r="K41" s="2">
        <f t="shared" si="17"/>
        <v>85.400225530434795</v>
      </c>
      <c r="L41" s="2">
        <f t="shared" si="17"/>
        <v>85.400225530434795</v>
      </c>
      <c r="M41" s="2">
        <f t="shared" si="17"/>
        <v>85.400225530434795</v>
      </c>
      <c r="N41" s="2">
        <f t="shared" si="17"/>
        <v>85.400225530434795</v>
      </c>
      <c r="O41" s="2">
        <f t="shared" si="17"/>
        <v>85.400225530434795</v>
      </c>
      <c r="P41" s="2">
        <f t="shared" si="17"/>
        <v>85.400225530434795</v>
      </c>
    </row>
    <row r="42" spans="1:16" s="3" customFormat="1" ht="15.75" customHeight="1" x14ac:dyDescent="0.25">
      <c r="A42" s="1"/>
      <c r="B42" s="1" t="s">
        <v>37</v>
      </c>
      <c r="C42" s="15">
        <v>7711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3" customFormat="1" ht="15.75" customHeight="1" x14ac:dyDescent="0.25">
      <c r="A43" s="1"/>
      <c r="B43" s="19" t="s">
        <v>38</v>
      </c>
      <c r="C43" s="19"/>
      <c r="D43" s="15">
        <v>1</v>
      </c>
      <c r="E43" s="15">
        <v>1</v>
      </c>
      <c r="F43" s="15">
        <v>1</v>
      </c>
      <c r="G43" s="20">
        <v>0.8</v>
      </c>
      <c r="H43" s="20">
        <v>0.8</v>
      </c>
      <c r="I43" s="20">
        <v>0.4</v>
      </c>
      <c r="J43" s="20">
        <v>0.4</v>
      </c>
      <c r="K43" s="20">
        <v>0.6</v>
      </c>
      <c r="L43" s="15">
        <v>1</v>
      </c>
      <c r="M43" s="15">
        <v>1</v>
      </c>
      <c r="N43" s="15">
        <v>1</v>
      </c>
      <c r="O43" s="15">
        <v>1</v>
      </c>
      <c r="P43" s="2"/>
    </row>
    <row r="44" spans="1:16" s="3" customFormat="1" ht="15.75" customHeight="1" x14ac:dyDescent="0.25">
      <c r="A44" s="21"/>
      <c r="B44" s="22" t="s">
        <v>40</v>
      </c>
      <c r="C44" s="21"/>
      <c r="D44" s="22">
        <f t="shared" ref="D44:O44" si="18">SUM(D46+D51)</f>
        <v>-5042058.4807433691</v>
      </c>
      <c r="E44" s="22">
        <f t="shared" si="18"/>
        <v>-5042058.4807433691</v>
      </c>
      <c r="F44" s="22">
        <f t="shared" si="18"/>
        <v>-5042058.4807433691</v>
      </c>
      <c r="G44" s="22">
        <f t="shared" si="18"/>
        <v>-4033646.784594696</v>
      </c>
      <c r="H44" s="22">
        <f t="shared" si="18"/>
        <v>-4033646.784594696</v>
      </c>
      <c r="I44" s="22">
        <f t="shared" si="18"/>
        <v>-2016823.392297348</v>
      </c>
      <c r="J44" s="22">
        <f t="shared" si="18"/>
        <v>-2016823.392297348</v>
      </c>
      <c r="K44" s="22">
        <f t="shared" si="18"/>
        <v>-3025235.0884460215</v>
      </c>
      <c r="L44" s="22">
        <f t="shared" si="18"/>
        <v>-5042058.4807433691</v>
      </c>
      <c r="M44" s="22">
        <f t="shared" si="18"/>
        <v>-5042058.4807433691</v>
      </c>
      <c r="N44" s="22">
        <f t="shared" si="18"/>
        <v>-5042058.4807433691</v>
      </c>
      <c r="O44" s="22">
        <f t="shared" si="18"/>
        <v>-5042058.4807433691</v>
      </c>
      <c r="P44" s="22">
        <f>SUM(D44:O44)</f>
        <v>-50420584.807433702</v>
      </c>
    </row>
    <row r="45" spans="1:16" s="3" customFormat="1" ht="15.75" customHeight="1" x14ac:dyDescent="0.25">
      <c r="A45" s="1"/>
      <c r="B45" s="1"/>
      <c r="C45" s="1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3" customFormat="1" ht="15.75" customHeight="1" x14ac:dyDescent="0.25">
      <c r="A46" s="23"/>
      <c r="B46" s="12" t="s">
        <v>41</v>
      </c>
      <c r="C46" s="23"/>
      <c r="D46" s="12">
        <f t="shared" ref="D46:O46" si="19">D47+D48+D49</f>
        <v>-4614019.7403509999</v>
      </c>
      <c r="E46" s="12">
        <f t="shared" si="19"/>
        <v>-4614019.7403509999</v>
      </c>
      <c r="F46" s="12">
        <f t="shared" si="19"/>
        <v>-4614019.7403509999</v>
      </c>
      <c r="G46" s="12">
        <f t="shared" si="19"/>
        <v>-3691215.7922808011</v>
      </c>
      <c r="H46" s="12">
        <f t="shared" si="19"/>
        <v>-3691215.7922808011</v>
      </c>
      <c r="I46" s="12">
        <f t="shared" si="19"/>
        <v>-1845607.8961404006</v>
      </c>
      <c r="J46" s="12">
        <f t="shared" si="19"/>
        <v>-1845607.8961404006</v>
      </c>
      <c r="K46" s="12">
        <f t="shared" si="19"/>
        <v>-2768411.8442106005</v>
      </c>
      <c r="L46" s="12">
        <f t="shared" si="19"/>
        <v>-4614019.7403509999</v>
      </c>
      <c r="M46" s="12">
        <f t="shared" si="19"/>
        <v>-4614019.7403509999</v>
      </c>
      <c r="N46" s="12">
        <f t="shared" si="19"/>
        <v>-4614019.7403509999</v>
      </c>
      <c r="O46" s="12">
        <f t="shared" si="19"/>
        <v>-4614019.7403509999</v>
      </c>
      <c r="P46" s="12">
        <f>SUM(D46:O46)</f>
        <v>-46140197.403509997</v>
      </c>
    </row>
    <row r="47" spans="1:16" s="3" customFormat="1" ht="15.75" customHeight="1" x14ac:dyDescent="0.25">
      <c r="A47" s="2"/>
      <c r="B47" s="1" t="s">
        <v>42</v>
      </c>
      <c r="C47" s="16">
        <v>0.46</v>
      </c>
      <c r="D47" s="2">
        <f t="shared" ref="D47:D49" si="20">-D$19*$C47</f>
        <v>-3368966.7945420002</v>
      </c>
      <c r="E47" s="2">
        <f t="shared" ref="E47:O47" si="21">-E19*$C47</f>
        <v>-3368966.7945420002</v>
      </c>
      <c r="F47" s="2">
        <f t="shared" si="21"/>
        <v>-3368966.7945420002</v>
      </c>
      <c r="G47" s="2">
        <f t="shared" si="21"/>
        <v>-2695173.4356336007</v>
      </c>
      <c r="H47" s="2">
        <f t="shared" si="21"/>
        <v>-2695173.4356336007</v>
      </c>
      <c r="I47" s="2">
        <f t="shared" si="21"/>
        <v>-1347586.7178168003</v>
      </c>
      <c r="J47" s="2">
        <f t="shared" si="21"/>
        <v>-1347586.7178168003</v>
      </c>
      <c r="K47" s="2">
        <f t="shared" si="21"/>
        <v>-2021380.0767252003</v>
      </c>
      <c r="L47" s="2">
        <f t="shared" si="21"/>
        <v>-3368966.7945420002</v>
      </c>
      <c r="M47" s="2">
        <f t="shared" si="21"/>
        <v>-3368966.7945420002</v>
      </c>
      <c r="N47" s="2">
        <f t="shared" si="21"/>
        <v>-3368966.7945420002</v>
      </c>
      <c r="O47" s="2">
        <f t="shared" si="21"/>
        <v>-3368966.7945420002</v>
      </c>
      <c r="P47" s="2"/>
    </row>
    <row r="48" spans="1:16" s="3" customFormat="1" ht="15.75" customHeight="1" x14ac:dyDescent="0.25">
      <c r="A48" s="1"/>
      <c r="B48" s="1" t="s">
        <v>43</v>
      </c>
      <c r="C48" s="16">
        <v>7.0000000000000007E-2</v>
      </c>
      <c r="D48" s="2">
        <f t="shared" si="20"/>
        <v>-512668.86003900011</v>
      </c>
      <c r="E48" s="2">
        <f t="shared" ref="E48:O48" si="22">-E$19*$C48</f>
        <v>-512668.86003900011</v>
      </c>
      <c r="F48" s="2">
        <f t="shared" si="22"/>
        <v>-512668.86003900011</v>
      </c>
      <c r="G48" s="2">
        <f t="shared" si="22"/>
        <v>-410135.08803120011</v>
      </c>
      <c r="H48" s="2">
        <f t="shared" si="22"/>
        <v>-410135.08803120011</v>
      </c>
      <c r="I48" s="2">
        <f t="shared" si="22"/>
        <v>-205067.54401560005</v>
      </c>
      <c r="J48" s="2">
        <f t="shared" si="22"/>
        <v>-205067.54401560005</v>
      </c>
      <c r="K48" s="2">
        <f t="shared" si="22"/>
        <v>-307601.31602340005</v>
      </c>
      <c r="L48" s="2">
        <f t="shared" si="22"/>
        <v>-512668.86003900011</v>
      </c>
      <c r="M48" s="2">
        <f t="shared" si="22"/>
        <v>-512668.86003900011</v>
      </c>
      <c r="N48" s="2">
        <f t="shared" si="22"/>
        <v>-512668.86003900011</v>
      </c>
      <c r="O48" s="2">
        <f t="shared" si="22"/>
        <v>-512668.86003900011</v>
      </c>
      <c r="P48" s="2"/>
    </row>
    <row r="49" spans="1:16" s="3" customFormat="1" ht="15.75" customHeight="1" x14ac:dyDescent="0.25">
      <c r="A49" s="1"/>
      <c r="B49" s="1" t="s">
        <v>44</v>
      </c>
      <c r="C49" s="16">
        <v>0.1</v>
      </c>
      <c r="D49" s="2">
        <f t="shared" si="20"/>
        <v>-732384.08577000012</v>
      </c>
      <c r="E49" s="2">
        <f t="shared" ref="E49:O49" si="23">-E$19*$C49</f>
        <v>-732384.08577000012</v>
      </c>
      <c r="F49" s="2">
        <f t="shared" si="23"/>
        <v>-732384.08577000012</v>
      </c>
      <c r="G49" s="2">
        <f t="shared" si="23"/>
        <v>-585907.26861600007</v>
      </c>
      <c r="H49" s="2">
        <f t="shared" si="23"/>
        <v>-585907.26861600007</v>
      </c>
      <c r="I49" s="2">
        <f t="shared" si="23"/>
        <v>-292953.63430800004</v>
      </c>
      <c r="J49" s="2">
        <f t="shared" si="23"/>
        <v>-292953.63430800004</v>
      </c>
      <c r="K49" s="2">
        <f t="shared" si="23"/>
        <v>-439430.45146200008</v>
      </c>
      <c r="L49" s="2">
        <f t="shared" si="23"/>
        <v>-732384.08577000012</v>
      </c>
      <c r="M49" s="2">
        <f t="shared" si="23"/>
        <v>-732384.08577000012</v>
      </c>
      <c r="N49" s="2">
        <f t="shared" si="23"/>
        <v>-732384.08577000012</v>
      </c>
      <c r="O49" s="2">
        <f t="shared" si="23"/>
        <v>-732384.08577000012</v>
      </c>
      <c r="P49" s="2"/>
    </row>
    <row r="50" spans="1:16" s="3" customFormat="1" ht="15.75" customHeight="1" x14ac:dyDescent="0.25">
      <c r="A50" s="1"/>
      <c r="B50" s="1"/>
      <c r="C50" s="1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3" customFormat="1" ht="15.75" customHeight="1" x14ac:dyDescent="0.25">
      <c r="A51" s="23"/>
      <c r="B51" s="12" t="s">
        <v>39</v>
      </c>
      <c r="C51" s="23"/>
      <c r="D51" s="12">
        <f t="shared" ref="D51:O51" si="24">D53+D52+D54</f>
        <v>-428038.74039236875</v>
      </c>
      <c r="E51" s="12">
        <f t="shared" si="24"/>
        <v>-428038.74039236875</v>
      </c>
      <c r="F51" s="12">
        <f t="shared" si="24"/>
        <v>-428038.74039236875</v>
      </c>
      <c r="G51" s="12">
        <f t="shared" si="24"/>
        <v>-342430.99231389497</v>
      </c>
      <c r="H51" s="12">
        <f t="shared" si="24"/>
        <v>-342430.99231389497</v>
      </c>
      <c r="I51" s="12">
        <f t="shared" si="24"/>
        <v>-171215.49615694748</v>
      </c>
      <c r="J51" s="12">
        <f t="shared" si="24"/>
        <v>-171215.49615694748</v>
      </c>
      <c r="K51" s="12">
        <f t="shared" si="24"/>
        <v>-256823.24423542124</v>
      </c>
      <c r="L51" s="12">
        <f t="shared" si="24"/>
        <v>-428038.74039236875</v>
      </c>
      <c r="M51" s="12">
        <f t="shared" si="24"/>
        <v>-428038.74039236875</v>
      </c>
      <c r="N51" s="12">
        <f t="shared" si="24"/>
        <v>-428038.74039236875</v>
      </c>
      <c r="O51" s="12">
        <f t="shared" si="24"/>
        <v>-428038.74039236875</v>
      </c>
      <c r="P51" s="12">
        <f>SUM(D51:O51)</f>
        <v>-4280387.4039236875</v>
      </c>
    </row>
    <row r="52" spans="1:16" s="3" customFormat="1" ht="15.75" customHeight="1" x14ac:dyDescent="0.25">
      <c r="A52" s="1"/>
      <c r="B52" s="1" t="s">
        <v>42</v>
      </c>
      <c r="C52" s="16">
        <v>0.48</v>
      </c>
      <c r="D52" s="2">
        <f t="shared" ref="D52:O52" si="25">-D$34*$C52</f>
        <v>-316090.14675128768</v>
      </c>
      <c r="E52" s="2">
        <f t="shared" si="25"/>
        <v>-316090.14675128768</v>
      </c>
      <c r="F52" s="2">
        <f t="shared" si="25"/>
        <v>-316090.14675128768</v>
      </c>
      <c r="G52" s="2">
        <f t="shared" si="25"/>
        <v>-252872.11740103012</v>
      </c>
      <c r="H52" s="2">
        <f t="shared" si="25"/>
        <v>-252872.11740103012</v>
      </c>
      <c r="I52" s="2">
        <f t="shared" si="25"/>
        <v>-126436.05870051506</v>
      </c>
      <c r="J52" s="2">
        <f t="shared" si="25"/>
        <v>-126436.05870051506</v>
      </c>
      <c r="K52" s="2">
        <f t="shared" si="25"/>
        <v>-189654.08805077261</v>
      </c>
      <c r="L52" s="2">
        <f t="shared" si="25"/>
        <v>-316090.14675128768</v>
      </c>
      <c r="M52" s="2">
        <f t="shared" si="25"/>
        <v>-316090.14675128768</v>
      </c>
      <c r="N52" s="2">
        <f t="shared" si="25"/>
        <v>-316090.14675128768</v>
      </c>
      <c r="O52" s="2">
        <f t="shared" si="25"/>
        <v>-316090.14675128768</v>
      </c>
      <c r="P52" s="2"/>
    </row>
    <row r="53" spans="1:16" s="3" customFormat="1" ht="15.75" customHeight="1" x14ac:dyDescent="0.25">
      <c r="A53" s="1"/>
      <c r="B53" s="1" t="s">
        <v>43</v>
      </c>
      <c r="C53" s="16">
        <v>7.0000000000000007E-2</v>
      </c>
      <c r="D53" s="2">
        <f t="shared" ref="D53:O53" si="26">-D$34*$C53</f>
        <v>-46096.479734562789</v>
      </c>
      <c r="E53" s="2">
        <f t="shared" si="26"/>
        <v>-46096.479734562789</v>
      </c>
      <c r="F53" s="2">
        <f t="shared" si="26"/>
        <v>-46096.479734562789</v>
      </c>
      <c r="G53" s="2">
        <f t="shared" si="26"/>
        <v>-36877.183787650232</v>
      </c>
      <c r="H53" s="2">
        <f t="shared" si="26"/>
        <v>-36877.183787650232</v>
      </c>
      <c r="I53" s="2">
        <f t="shared" si="26"/>
        <v>-18438.591893825116</v>
      </c>
      <c r="J53" s="2">
        <f t="shared" si="26"/>
        <v>-18438.591893825116</v>
      </c>
      <c r="K53" s="2">
        <f t="shared" si="26"/>
        <v>-27657.887840737672</v>
      </c>
      <c r="L53" s="2">
        <f t="shared" si="26"/>
        <v>-46096.479734562789</v>
      </c>
      <c r="M53" s="2">
        <f t="shared" si="26"/>
        <v>-46096.479734562789</v>
      </c>
      <c r="N53" s="2">
        <f t="shared" si="26"/>
        <v>-46096.479734562789</v>
      </c>
      <c r="O53" s="2">
        <f t="shared" si="26"/>
        <v>-46096.479734562789</v>
      </c>
      <c r="P53" s="2"/>
    </row>
    <row r="54" spans="1:16" s="3" customFormat="1" ht="15.75" customHeight="1" x14ac:dyDescent="0.25">
      <c r="A54" s="1"/>
      <c r="B54" s="1" t="s">
        <v>44</v>
      </c>
      <c r="C54" s="16">
        <v>0.1</v>
      </c>
      <c r="D54" s="2">
        <f t="shared" ref="D54:O54" si="27">-D$34*$C54</f>
        <v>-65852.113906518265</v>
      </c>
      <c r="E54" s="2">
        <f t="shared" si="27"/>
        <v>-65852.113906518265</v>
      </c>
      <c r="F54" s="2">
        <f t="shared" si="27"/>
        <v>-65852.113906518265</v>
      </c>
      <c r="G54" s="2">
        <f t="shared" si="27"/>
        <v>-52681.691125214616</v>
      </c>
      <c r="H54" s="2">
        <f t="shared" si="27"/>
        <v>-52681.691125214616</v>
      </c>
      <c r="I54" s="2">
        <f t="shared" si="27"/>
        <v>-26340.845562607308</v>
      </c>
      <c r="J54" s="2">
        <f t="shared" si="27"/>
        <v>-26340.845562607308</v>
      </c>
      <c r="K54" s="2">
        <f t="shared" si="27"/>
        <v>-39511.268343910961</v>
      </c>
      <c r="L54" s="2">
        <f t="shared" si="27"/>
        <v>-65852.113906518265</v>
      </c>
      <c r="M54" s="2">
        <f t="shared" si="27"/>
        <v>-65852.113906518265</v>
      </c>
      <c r="N54" s="2">
        <f t="shared" si="27"/>
        <v>-65852.113906518265</v>
      </c>
      <c r="O54" s="2">
        <f t="shared" si="27"/>
        <v>-65852.113906518265</v>
      </c>
      <c r="P54" s="2"/>
    </row>
    <row r="55" spans="1:16" s="3" customFormat="1" ht="15.75" customHeight="1" x14ac:dyDescent="0.25">
      <c r="A55" s="1"/>
      <c r="B55" s="1"/>
      <c r="C55" s="1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3" customFormat="1" ht="15.75" customHeight="1" x14ac:dyDescent="0.25">
      <c r="A56" s="11"/>
      <c r="B56" s="10" t="s">
        <v>45</v>
      </c>
      <c r="C56" s="11"/>
      <c r="D56" s="10">
        <f t="shared" ref="D56:O56" si="28">D16+D44</f>
        <v>2940303.5160218142</v>
      </c>
      <c r="E56" s="10">
        <f t="shared" si="28"/>
        <v>2940303.5160218142</v>
      </c>
      <c r="F56" s="10">
        <f t="shared" si="28"/>
        <v>2940303.5160218142</v>
      </c>
      <c r="G56" s="10">
        <f t="shared" si="28"/>
        <v>2352242.8128174506</v>
      </c>
      <c r="H56" s="10">
        <f t="shared" si="28"/>
        <v>2352242.8128174506</v>
      </c>
      <c r="I56" s="10">
        <f t="shared" si="28"/>
        <v>1176121.4064087253</v>
      </c>
      <c r="J56" s="10">
        <f t="shared" si="28"/>
        <v>1176121.4064087253</v>
      </c>
      <c r="K56" s="10">
        <f t="shared" si="28"/>
        <v>1764182.1096130884</v>
      </c>
      <c r="L56" s="10">
        <f t="shared" si="28"/>
        <v>2940303.5160218142</v>
      </c>
      <c r="M56" s="10">
        <f t="shared" si="28"/>
        <v>2940303.5160218142</v>
      </c>
      <c r="N56" s="10">
        <f t="shared" si="28"/>
        <v>2940303.5160218142</v>
      </c>
      <c r="O56" s="10">
        <f t="shared" si="28"/>
        <v>2940303.5160218142</v>
      </c>
      <c r="P56" s="10">
        <f>SUM(D56:O56)</f>
        <v>29403035.160218138</v>
      </c>
    </row>
    <row r="57" spans="1:16" s="3" customFormat="1" ht="15.75" customHeight="1" x14ac:dyDescent="0.25">
      <c r="A57" s="2"/>
      <c r="B57" s="24" t="s">
        <v>46</v>
      </c>
      <c r="C57" s="2"/>
      <c r="D57" s="25">
        <f t="shared" ref="D57:O57" si="29">IFERROR(D56/D$16,0)</f>
        <v>0.36835005944523175</v>
      </c>
      <c r="E57" s="25">
        <f t="shared" si="29"/>
        <v>0.36835005944523175</v>
      </c>
      <c r="F57" s="25">
        <f t="shared" si="29"/>
        <v>0.36835005944523175</v>
      </c>
      <c r="G57" s="25">
        <f t="shared" si="29"/>
        <v>0.36835005944523164</v>
      </c>
      <c r="H57" s="25">
        <f t="shared" si="29"/>
        <v>0.36835005944523164</v>
      </c>
      <c r="I57" s="25">
        <f t="shared" si="29"/>
        <v>0.36835005944523164</v>
      </c>
      <c r="J57" s="25">
        <f t="shared" si="29"/>
        <v>0.36835005944523164</v>
      </c>
      <c r="K57" s="25">
        <f t="shared" si="29"/>
        <v>0.36835005944523175</v>
      </c>
      <c r="L57" s="25">
        <f t="shared" si="29"/>
        <v>0.36835005944523175</v>
      </c>
      <c r="M57" s="25">
        <f t="shared" si="29"/>
        <v>0.36835005944523175</v>
      </c>
      <c r="N57" s="25">
        <f t="shared" si="29"/>
        <v>0.36835005944523175</v>
      </c>
      <c r="O57" s="25">
        <f t="shared" si="29"/>
        <v>0.36835005944523175</v>
      </c>
      <c r="P57" s="6"/>
    </row>
    <row r="58" spans="1:16" s="3" customFormat="1" ht="15.75" customHeight="1" x14ac:dyDescent="0.2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3" customFormat="1" ht="15.75" customHeight="1" x14ac:dyDescent="0.25">
      <c r="A59" s="23"/>
      <c r="B59" s="12" t="s">
        <v>47</v>
      </c>
      <c r="C59" s="23"/>
      <c r="D59" s="12">
        <f t="shared" ref="D59:P59" si="30">D19+D46</f>
        <v>2709821.1173490006</v>
      </c>
      <c r="E59" s="12">
        <f t="shared" si="30"/>
        <v>2709821.1173490006</v>
      </c>
      <c r="F59" s="12">
        <f t="shared" si="30"/>
        <v>2709821.1173490006</v>
      </c>
      <c r="G59" s="12">
        <f t="shared" si="30"/>
        <v>2167856.8938791999</v>
      </c>
      <c r="H59" s="12">
        <f t="shared" si="30"/>
        <v>2167856.8938791999</v>
      </c>
      <c r="I59" s="12">
        <f t="shared" si="30"/>
        <v>1083928.4469395999</v>
      </c>
      <c r="J59" s="12">
        <f t="shared" si="30"/>
        <v>1083928.4469395999</v>
      </c>
      <c r="K59" s="12">
        <f t="shared" si="30"/>
        <v>1625892.6704094</v>
      </c>
      <c r="L59" s="12">
        <f t="shared" si="30"/>
        <v>2709821.1173490006</v>
      </c>
      <c r="M59" s="12">
        <f t="shared" si="30"/>
        <v>2709821.1173490006</v>
      </c>
      <c r="N59" s="12">
        <f t="shared" si="30"/>
        <v>2709821.1173490006</v>
      </c>
      <c r="O59" s="12">
        <f t="shared" si="30"/>
        <v>2709821.1173490006</v>
      </c>
      <c r="P59" s="12">
        <f t="shared" si="30"/>
        <v>27098211.173489995</v>
      </c>
    </row>
    <row r="60" spans="1:16" s="3" customFormat="1" ht="15.75" customHeight="1" x14ac:dyDescent="0.25">
      <c r="A60" s="1"/>
      <c r="B60" s="26" t="s">
        <v>48</v>
      </c>
      <c r="C60" s="1"/>
      <c r="D60" s="25">
        <f t="shared" ref="D60:O60" si="31">IFERROR(D59/D19,0)</f>
        <v>0.37000000000000005</v>
      </c>
      <c r="E60" s="25">
        <f t="shared" si="31"/>
        <v>0.37000000000000005</v>
      </c>
      <c r="F60" s="25">
        <f t="shared" si="31"/>
        <v>0.37000000000000005</v>
      </c>
      <c r="G60" s="25">
        <f t="shared" si="31"/>
        <v>0.36999999999999994</v>
      </c>
      <c r="H60" s="25">
        <f t="shared" si="31"/>
        <v>0.36999999999999994</v>
      </c>
      <c r="I60" s="25">
        <f t="shared" si="31"/>
        <v>0.36999999999999994</v>
      </c>
      <c r="J60" s="25">
        <f t="shared" si="31"/>
        <v>0.36999999999999994</v>
      </c>
      <c r="K60" s="25">
        <f t="shared" si="31"/>
        <v>0.36999999999999994</v>
      </c>
      <c r="L60" s="25">
        <f t="shared" si="31"/>
        <v>0.37000000000000005</v>
      </c>
      <c r="M60" s="25">
        <f t="shared" si="31"/>
        <v>0.37000000000000005</v>
      </c>
      <c r="N60" s="25">
        <f t="shared" si="31"/>
        <v>0.37000000000000005</v>
      </c>
      <c r="O60" s="25">
        <f t="shared" si="31"/>
        <v>0.37000000000000005</v>
      </c>
      <c r="P60" s="6"/>
    </row>
    <row r="61" spans="1:16" s="3" customFormat="1" ht="15.75" customHeight="1" x14ac:dyDescent="0.25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3" customFormat="1" ht="15.75" customHeight="1" x14ac:dyDescent="0.25">
      <c r="A62" s="23"/>
      <c r="B62" s="12" t="s">
        <v>49</v>
      </c>
      <c r="C62" s="23"/>
      <c r="D62" s="12">
        <f t="shared" ref="D62:P62" si="32">D34+D51</f>
        <v>230482.3986728139</v>
      </c>
      <c r="E62" s="12">
        <f t="shared" si="32"/>
        <v>230482.3986728139</v>
      </c>
      <c r="F62" s="12">
        <f t="shared" si="32"/>
        <v>230482.3986728139</v>
      </c>
      <c r="G62" s="12">
        <f t="shared" si="32"/>
        <v>184385.91893825115</v>
      </c>
      <c r="H62" s="12">
        <f t="shared" si="32"/>
        <v>184385.91893825115</v>
      </c>
      <c r="I62" s="12">
        <f t="shared" si="32"/>
        <v>92192.959469125577</v>
      </c>
      <c r="J62" s="12">
        <f t="shared" si="32"/>
        <v>92192.959469125577</v>
      </c>
      <c r="K62" s="12">
        <f t="shared" si="32"/>
        <v>138289.43920368835</v>
      </c>
      <c r="L62" s="12">
        <f t="shared" si="32"/>
        <v>230482.3986728139</v>
      </c>
      <c r="M62" s="12">
        <f t="shared" si="32"/>
        <v>230482.3986728139</v>
      </c>
      <c r="N62" s="12">
        <f t="shared" si="32"/>
        <v>230482.3986728139</v>
      </c>
      <c r="O62" s="12">
        <f t="shared" si="32"/>
        <v>230482.3986728139</v>
      </c>
      <c r="P62" s="12">
        <f t="shared" si="32"/>
        <v>2304823.9867281392</v>
      </c>
    </row>
    <row r="63" spans="1:16" s="3" customFormat="1" ht="15.75" customHeight="1" x14ac:dyDescent="0.25">
      <c r="A63" s="1"/>
      <c r="B63" s="26" t="s">
        <v>50</v>
      </c>
      <c r="C63" s="1"/>
      <c r="D63" s="25">
        <f t="shared" ref="D63:O63" si="33">IFERROR(D62/D34,0)</f>
        <v>0.35</v>
      </c>
      <c r="E63" s="25">
        <f t="shared" si="33"/>
        <v>0.35</v>
      </c>
      <c r="F63" s="25">
        <f t="shared" si="33"/>
        <v>0.35</v>
      </c>
      <c r="G63" s="25">
        <f t="shared" si="33"/>
        <v>0.35000000000000003</v>
      </c>
      <c r="H63" s="25">
        <f t="shared" si="33"/>
        <v>0.35000000000000003</v>
      </c>
      <c r="I63" s="25">
        <f t="shared" si="33"/>
        <v>0.35000000000000003</v>
      </c>
      <c r="J63" s="25">
        <f t="shared" si="33"/>
        <v>0.35000000000000003</v>
      </c>
      <c r="K63" s="25">
        <f t="shared" si="33"/>
        <v>0.35</v>
      </c>
      <c r="L63" s="25">
        <f t="shared" si="33"/>
        <v>0.35</v>
      </c>
      <c r="M63" s="25">
        <f t="shared" si="33"/>
        <v>0.35</v>
      </c>
      <c r="N63" s="25">
        <f t="shared" si="33"/>
        <v>0.35</v>
      </c>
      <c r="O63" s="25">
        <f t="shared" si="33"/>
        <v>0.35</v>
      </c>
      <c r="P63" s="6"/>
    </row>
    <row r="64" spans="1:16" s="3" customFormat="1" ht="15.75" customHeight="1" x14ac:dyDescent="0.2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3" customFormat="1" ht="15.75" customHeight="1" x14ac:dyDescent="0.25">
      <c r="A65" s="21"/>
      <c r="B65" s="22" t="s">
        <v>51</v>
      </c>
      <c r="C65" s="21"/>
      <c r="D65" s="22">
        <f t="shared" ref="D65:O65" si="34">SUM(D67:D74)</f>
        <v>-242200</v>
      </c>
      <c r="E65" s="22">
        <f t="shared" si="34"/>
        <v>-242200</v>
      </c>
      <c r="F65" s="22">
        <f t="shared" si="34"/>
        <v>-242200</v>
      </c>
      <c r="G65" s="22">
        <f t="shared" si="34"/>
        <v>-242200</v>
      </c>
      <c r="H65" s="22">
        <f t="shared" si="34"/>
        <v>-242200</v>
      </c>
      <c r="I65" s="22">
        <f t="shared" si="34"/>
        <v>-242200</v>
      </c>
      <c r="J65" s="22">
        <f t="shared" si="34"/>
        <v>-242200</v>
      </c>
      <c r="K65" s="22">
        <f t="shared" si="34"/>
        <v>-242200</v>
      </c>
      <c r="L65" s="22">
        <f t="shared" si="34"/>
        <v>-242200</v>
      </c>
      <c r="M65" s="22">
        <f t="shared" si="34"/>
        <v>-242200</v>
      </c>
      <c r="N65" s="22">
        <f t="shared" si="34"/>
        <v>-242200</v>
      </c>
      <c r="O65" s="22">
        <f t="shared" si="34"/>
        <v>-242200</v>
      </c>
      <c r="P65" s="22">
        <f>SUM(D65:O65)</f>
        <v>-2906400</v>
      </c>
    </row>
    <row r="66" spans="1:16" s="3" customFormat="1" ht="15.75" customHeight="1" x14ac:dyDescent="0.25">
      <c r="A66" s="1"/>
      <c r="B66" s="1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3" customFormat="1" ht="15.75" customHeight="1" x14ac:dyDescent="0.25">
      <c r="A67" s="1"/>
      <c r="B67" s="1" t="s">
        <v>52</v>
      </c>
      <c r="C67" s="15">
        <v>7300</v>
      </c>
      <c r="D67" s="2">
        <f t="shared" ref="D67:O67" si="35">-$C67</f>
        <v>-7300</v>
      </c>
      <c r="E67" s="2">
        <f t="shared" si="35"/>
        <v>-7300</v>
      </c>
      <c r="F67" s="2">
        <f t="shared" si="35"/>
        <v>-7300</v>
      </c>
      <c r="G67" s="2">
        <f t="shared" si="35"/>
        <v>-7300</v>
      </c>
      <c r="H67" s="2">
        <f t="shared" si="35"/>
        <v>-7300</v>
      </c>
      <c r="I67" s="2">
        <f t="shared" si="35"/>
        <v>-7300</v>
      </c>
      <c r="J67" s="2">
        <f t="shared" si="35"/>
        <v>-7300</v>
      </c>
      <c r="K67" s="2">
        <f t="shared" si="35"/>
        <v>-7300</v>
      </c>
      <c r="L67" s="2">
        <f t="shared" si="35"/>
        <v>-7300</v>
      </c>
      <c r="M67" s="2">
        <f t="shared" si="35"/>
        <v>-7300</v>
      </c>
      <c r="N67" s="2">
        <f t="shared" si="35"/>
        <v>-7300</v>
      </c>
      <c r="O67" s="2">
        <f t="shared" si="35"/>
        <v>-7300</v>
      </c>
      <c r="P67" s="2">
        <f t="shared" ref="P67:P74" si="36">SUM(D67:O67)</f>
        <v>-87600</v>
      </c>
    </row>
    <row r="68" spans="1:16" s="3" customFormat="1" ht="15.75" customHeight="1" x14ac:dyDescent="0.25">
      <c r="A68" s="1"/>
      <c r="B68" s="1" t="s">
        <v>53</v>
      </c>
      <c r="C68" s="15">
        <v>48000</v>
      </c>
      <c r="D68" s="2">
        <f t="shared" ref="D68:O68" si="37">-$C68</f>
        <v>-48000</v>
      </c>
      <c r="E68" s="2">
        <f t="shared" si="37"/>
        <v>-48000</v>
      </c>
      <c r="F68" s="2">
        <f t="shared" si="37"/>
        <v>-48000</v>
      </c>
      <c r="G68" s="2">
        <f t="shared" si="37"/>
        <v>-48000</v>
      </c>
      <c r="H68" s="2">
        <f t="shared" si="37"/>
        <v>-48000</v>
      </c>
      <c r="I68" s="2">
        <f t="shared" si="37"/>
        <v>-48000</v>
      </c>
      <c r="J68" s="2">
        <f t="shared" si="37"/>
        <v>-48000</v>
      </c>
      <c r="K68" s="2">
        <f t="shared" si="37"/>
        <v>-48000</v>
      </c>
      <c r="L68" s="2">
        <f t="shared" si="37"/>
        <v>-48000</v>
      </c>
      <c r="M68" s="2">
        <f t="shared" si="37"/>
        <v>-48000</v>
      </c>
      <c r="N68" s="2">
        <f t="shared" si="37"/>
        <v>-48000</v>
      </c>
      <c r="O68" s="2">
        <f t="shared" si="37"/>
        <v>-48000</v>
      </c>
      <c r="P68" s="2">
        <f t="shared" si="36"/>
        <v>-576000</v>
      </c>
    </row>
    <row r="69" spans="1:16" s="3" customFormat="1" ht="15.75" customHeight="1" x14ac:dyDescent="0.25">
      <c r="A69" s="1"/>
      <c r="B69" s="1" t="s">
        <v>54</v>
      </c>
      <c r="C69" s="15">
        <v>45000</v>
      </c>
      <c r="D69" s="2">
        <f t="shared" ref="D69:O69" si="38">-$C69</f>
        <v>-45000</v>
      </c>
      <c r="E69" s="2">
        <f t="shared" si="38"/>
        <v>-45000</v>
      </c>
      <c r="F69" s="2">
        <f t="shared" si="38"/>
        <v>-45000</v>
      </c>
      <c r="G69" s="2">
        <f t="shared" si="38"/>
        <v>-45000</v>
      </c>
      <c r="H69" s="2">
        <f t="shared" si="38"/>
        <v>-45000</v>
      </c>
      <c r="I69" s="2">
        <f t="shared" si="38"/>
        <v>-45000</v>
      </c>
      <c r="J69" s="2">
        <f t="shared" si="38"/>
        <v>-45000</v>
      </c>
      <c r="K69" s="2">
        <f t="shared" si="38"/>
        <v>-45000</v>
      </c>
      <c r="L69" s="2">
        <f t="shared" si="38"/>
        <v>-45000</v>
      </c>
      <c r="M69" s="2">
        <f t="shared" si="38"/>
        <v>-45000</v>
      </c>
      <c r="N69" s="2">
        <f t="shared" si="38"/>
        <v>-45000</v>
      </c>
      <c r="O69" s="2">
        <f t="shared" si="38"/>
        <v>-45000</v>
      </c>
      <c r="P69" s="2">
        <f t="shared" si="36"/>
        <v>-540000</v>
      </c>
    </row>
    <row r="70" spans="1:16" s="3" customFormat="1" ht="15.75" customHeight="1" x14ac:dyDescent="0.25">
      <c r="A70" s="1"/>
      <c r="B70" s="1" t="s">
        <v>55</v>
      </c>
      <c r="C70" s="15">
        <v>14000</v>
      </c>
      <c r="D70" s="2">
        <f t="shared" ref="D70:O70" si="39">-$C70</f>
        <v>-14000</v>
      </c>
      <c r="E70" s="2">
        <f t="shared" si="39"/>
        <v>-14000</v>
      </c>
      <c r="F70" s="2">
        <f t="shared" si="39"/>
        <v>-14000</v>
      </c>
      <c r="G70" s="2">
        <f t="shared" si="39"/>
        <v>-14000</v>
      </c>
      <c r="H70" s="2">
        <f t="shared" si="39"/>
        <v>-14000</v>
      </c>
      <c r="I70" s="2">
        <f t="shared" si="39"/>
        <v>-14000</v>
      </c>
      <c r="J70" s="2">
        <f t="shared" si="39"/>
        <v>-14000</v>
      </c>
      <c r="K70" s="2">
        <f t="shared" si="39"/>
        <v>-14000</v>
      </c>
      <c r="L70" s="2">
        <f t="shared" si="39"/>
        <v>-14000</v>
      </c>
      <c r="M70" s="2">
        <f t="shared" si="39"/>
        <v>-14000</v>
      </c>
      <c r="N70" s="2">
        <f t="shared" si="39"/>
        <v>-14000</v>
      </c>
      <c r="O70" s="2">
        <f t="shared" si="39"/>
        <v>-14000</v>
      </c>
      <c r="P70" s="2">
        <f t="shared" si="36"/>
        <v>-168000</v>
      </c>
    </row>
    <row r="71" spans="1:16" s="3" customFormat="1" ht="15.75" customHeight="1" x14ac:dyDescent="0.25">
      <c r="A71" s="1"/>
      <c r="B71" s="1" t="s">
        <v>56</v>
      </c>
      <c r="C71" s="15">
        <v>10000</v>
      </c>
      <c r="D71" s="2">
        <f t="shared" ref="D71:O71" si="40">-$C71</f>
        <v>-10000</v>
      </c>
      <c r="E71" s="2">
        <f t="shared" si="40"/>
        <v>-10000</v>
      </c>
      <c r="F71" s="2">
        <f t="shared" si="40"/>
        <v>-10000</v>
      </c>
      <c r="G71" s="2">
        <f t="shared" si="40"/>
        <v>-10000</v>
      </c>
      <c r="H71" s="2">
        <f t="shared" si="40"/>
        <v>-10000</v>
      </c>
      <c r="I71" s="2">
        <f t="shared" si="40"/>
        <v>-10000</v>
      </c>
      <c r="J71" s="2">
        <f t="shared" si="40"/>
        <v>-10000</v>
      </c>
      <c r="K71" s="2">
        <f t="shared" si="40"/>
        <v>-10000</v>
      </c>
      <c r="L71" s="2">
        <f t="shared" si="40"/>
        <v>-10000</v>
      </c>
      <c r="M71" s="2">
        <f t="shared" si="40"/>
        <v>-10000</v>
      </c>
      <c r="N71" s="2">
        <f t="shared" si="40"/>
        <v>-10000</v>
      </c>
      <c r="O71" s="2">
        <f t="shared" si="40"/>
        <v>-10000</v>
      </c>
      <c r="P71" s="2">
        <f t="shared" si="36"/>
        <v>-120000</v>
      </c>
    </row>
    <row r="72" spans="1:16" s="3" customFormat="1" ht="15.75" customHeight="1" x14ac:dyDescent="0.25">
      <c r="A72" s="1"/>
      <c r="B72" s="1" t="s">
        <v>57</v>
      </c>
      <c r="C72" s="15">
        <v>48000</v>
      </c>
      <c r="D72" s="2">
        <f t="shared" ref="D72:O72" si="41">-$C72</f>
        <v>-48000</v>
      </c>
      <c r="E72" s="2">
        <f t="shared" si="41"/>
        <v>-48000</v>
      </c>
      <c r="F72" s="2">
        <f t="shared" si="41"/>
        <v>-48000</v>
      </c>
      <c r="G72" s="2">
        <f t="shared" si="41"/>
        <v>-48000</v>
      </c>
      <c r="H72" s="2">
        <f t="shared" si="41"/>
        <v>-48000</v>
      </c>
      <c r="I72" s="2">
        <f t="shared" si="41"/>
        <v>-48000</v>
      </c>
      <c r="J72" s="2">
        <f t="shared" si="41"/>
        <v>-48000</v>
      </c>
      <c r="K72" s="2">
        <f t="shared" si="41"/>
        <v>-48000</v>
      </c>
      <c r="L72" s="2">
        <f t="shared" si="41"/>
        <v>-48000</v>
      </c>
      <c r="M72" s="2">
        <f t="shared" si="41"/>
        <v>-48000</v>
      </c>
      <c r="N72" s="2">
        <f t="shared" si="41"/>
        <v>-48000</v>
      </c>
      <c r="O72" s="2">
        <f t="shared" si="41"/>
        <v>-48000</v>
      </c>
      <c r="P72" s="2">
        <f t="shared" si="36"/>
        <v>-576000</v>
      </c>
    </row>
    <row r="73" spans="1:16" s="3" customFormat="1" ht="15.75" customHeight="1" x14ac:dyDescent="0.25">
      <c r="A73" s="1"/>
      <c r="B73" s="1" t="s">
        <v>58</v>
      </c>
      <c r="C73" s="15">
        <v>68400</v>
      </c>
      <c r="D73" s="2">
        <f t="shared" ref="D73:O73" si="42">-$C73</f>
        <v>-68400</v>
      </c>
      <c r="E73" s="2">
        <f t="shared" si="42"/>
        <v>-68400</v>
      </c>
      <c r="F73" s="2">
        <f t="shared" si="42"/>
        <v>-68400</v>
      </c>
      <c r="G73" s="2">
        <f t="shared" si="42"/>
        <v>-68400</v>
      </c>
      <c r="H73" s="2">
        <f t="shared" si="42"/>
        <v>-68400</v>
      </c>
      <c r="I73" s="2">
        <f t="shared" si="42"/>
        <v>-68400</v>
      </c>
      <c r="J73" s="2">
        <f t="shared" si="42"/>
        <v>-68400</v>
      </c>
      <c r="K73" s="2">
        <f t="shared" si="42"/>
        <v>-68400</v>
      </c>
      <c r="L73" s="2">
        <f t="shared" si="42"/>
        <v>-68400</v>
      </c>
      <c r="M73" s="2">
        <f t="shared" si="42"/>
        <v>-68400</v>
      </c>
      <c r="N73" s="2">
        <f t="shared" si="42"/>
        <v>-68400</v>
      </c>
      <c r="O73" s="2">
        <f t="shared" si="42"/>
        <v>-68400</v>
      </c>
      <c r="P73" s="2">
        <f t="shared" si="36"/>
        <v>-820800</v>
      </c>
    </row>
    <row r="74" spans="1:16" s="3" customFormat="1" ht="15.75" customHeight="1" x14ac:dyDescent="0.25">
      <c r="A74" s="1"/>
      <c r="B74" s="1" t="s">
        <v>59</v>
      </c>
      <c r="C74" s="15">
        <v>1500</v>
      </c>
      <c r="D74" s="2">
        <f t="shared" ref="D74:O74" si="43">-$C74</f>
        <v>-1500</v>
      </c>
      <c r="E74" s="2">
        <f t="shared" si="43"/>
        <v>-1500</v>
      </c>
      <c r="F74" s="2">
        <f t="shared" si="43"/>
        <v>-1500</v>
      </c>
      <c r="G74" s="2">
        <f t="shared" si="43"/>
        <v>-1500</v>
      </c>
      <c r="H74" s="2">
        <f t="shared" si="43"/>
        <v>-1500</v>
      </c>
      <c r="I74" s="2">
        <f t="shared" si="43"/>
        <v>-1500</v>
      </c>
      <c r="J74" s="2">
        <f t="shared" si="43"/>
        <v>-1500</v>
      </c>
      <c r="K74" s="2">
        <f t="shared" si="43"/>
        <v>-1500</v>
      </c>
      <c r="L74" s="2">
        <f t="shared" si="43"/>
        <v>-1500</v>
      </c>
      <c r="M74" s="2">
        <f t="shared" si="43"/>
        <v>-1500</v>
      </c>
      <c r="N74" s="2">
        <f t="shared" si="43"/>
        <v>-1500</v>
      </c>
      <c r="O74" s="2">
        <f t="shared" si="43"/>
        <v>-1500</v>
      </c>
      <c r="P74" s="2">
        <f t="shared" si="36"/>
        <v>-18000</v>
      </c>
    </row>
    <row r="75" spans="1:16" s="3" customFormat="1" ht="15.75" customHeight="1" x14ac:dyDescent="0.25">
      <c r="A75" s="1"/>
      <c r="B75" s="1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3" customFormat="1" ht="15.75" customHeight="1" x14ac:dyDescent="0.25">
      <c r="A76" s="11"/>
      <c r="B76" s="10" t="s">
        <v>60</v>
      </c>
      <c r="C76" s="11"/>
      <c r="D76" s="10">
        <f t="shared" ref="D76:O76" si="44">D56+D65</f>
        <v>2698103.5160218142</v>
      </c>
      <c r="E76" s="10">
        <f t="shared" si="44"/>
        <v>2698103.5160218142</v>
      </c>
      <c r="F76" s="10">
        <f t="shared" si="44"/>
        <v>2698103.5160218142</v>
      </c>
      <c r="G76" s="10">
        <f t="shared" si="44"/>
        <v>2110042.8128174506</v>
      </c>
      <c r="H76" s="10">
        <f t="shared" si="44"/>
        <v>2110042.8128174506</v>
      </c>
      <c r="I76" s="10">
        <f t="shared" si="44"/>
        <v>933921.40640872531</v>
      </c>
      <c r="J76" s="10">
        <f t="shared" si="44"/>
        <v>933921.40640872531</v>
      </c>
      <c r="K76" s="10">
        <f t="shared" si="44"/>
        <v>1521982.1096130884</v>
      </c>
      <c r="L76" s="10">
        <f t="shared" si="44"/>
        <v>2698103.5160218142</v>
      </c>
      <c r="M76" s="10">
        <f t="shared" si="44"/>
        <v>2698103.5160218142</v>
      </c>
      <c r="N76" s="10">
        <f t="shared" si="44"/>
        <v>2698103.5160218142</v>
      </c>
      <c r="O76" s="10">
        <f t="shared" si="44"/>
        <v>2698103.5160218142</v>
      </c>
      <c r="P76" s="10">
        <f>SUM(D76:O76)</f>
        <v>26496635.160218138</v>
      </c>
    </row>
    <row r="77" spans="1:16" s="3" customFormat="1" ht="15.75" customHeight="1" x14ac:dyDescent="0.25">
      <c r="A77" s="2"/>
      <c r="B77" s="24" t="s">
        <v>61</v>
      </c>
      <c r="C77" s="2"/>
      <c r="D77" s="25">
        <f t="shared" ref="D77:O77" si="45">IFERROR(D76/D$16,0)</f>
        <v>0.33800816313707754</v>
      </c>
      <c r="E77" s="25">
        <f t="shared" si="45"/>
        <v>0.33800816313707754</v>
      </c>
      <c r="F77" s="25">
        <f t="shared" si="45"/>
        <v>0.33800816313707754</v>
      </c>
      <c r="G77" s="25">
        <f t="shared" si="45"/>
        <v>0.33042268906003891</v>
      </c>
      <c r="H77" s="25">
        <f t="shared" si="45"/>
        <v>0.33042268906003891</v>
      </c>
      <c r="I77" s="25">
        <f t="shared" si="45"/>
        <v>0.29249531867484613</v>
      </c>
      <c r="J77" s="25">
        <f t="shared" si="45"/>
        <v>0.29249531867484613</v>
      </c>
      <c r="K77" s="25">
        <f t="shared" si="45"/>
        <v>0.3177802322649747</v>
      </c>
      <c r="L77" s="25">
        <f t="shared" si="45"/>
        <v>0.33800816313707754</v>
      </c>
      <c r="M77" s="25">
        <f t="shared" si="45"/>
        <v>0.33800816313707754</v>
      </c>
      <c r="N77" s="25">
        <f t="shared" si="45"/>
        <v>0.33800816313707754</v>
      </c>
      <c r="O77" s="25">
        <f t="shared" si="45"/>
        <v>0.33800816313707754</v>
      </c>
      <c r="P77" s="6"/>
    </row>
    <row r="78" spans="1:16" s="3" customFormat="1" ht="15.75" customHeight="1" x14ac:dyDescent="0.2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3" customFormat="1" ht="15.75" customHeight="1" x14ac:dyDescent="0.25">
      <c r="A79" s="21"/>
      <c r="B79" s="22" t="s">
        <v>62</v>
      </c>
      <c r="C79" s="21"/>
      <c r="D79" s="22">
        <f t="shared" ref="D79:O79" si="46">D81+D92</f>
        <v>-876770.85990295548</v>
      </c>
      <c r="E79" s="22">
        <f t="shared" si="46"/>
        <v>-876770.85990295548</v>
      </c>
      <c r="F79" s="22">
        <f t="shared" si="46"/>
        <v>-876770.85990295548</v>
      </c>
      <c r="G79" s="22">
        <f t="shared" si="46"/>
        <v>-828876.68792236433</v>
      </c>
      <c r="H79" s="22">
        <f t="shared" si="46"/>
        <v>-828876.68792236433</v>
      </c>
      <c r="I79" s="22">
        <f t="shared" si="46"/>
        <v>-733088.34396118217</v>
      </c>
      <c r="J79" s="22">
        <f t="shared" si="46"/>
        <v>-733088.34396118217</v>
      </c>
      <c r="K79" s="22">
        <f t="shared" si="46"/>
        <v>-780982.51594177331</v>
      </c>
      <c r="L79" s="22">
        <f t="shared" si="46"/>
        <v>-876770.85990295548</v>
      </c>
      <c r="M79" s="22">
        <f t="shared" si="46"/>
        <v>-876770.85990295548</v>
      </c>
      <c r="N79" s="22">
        <f t="shared" si="46"/>
        <v>-876770.85990295548</v>
      </c>
      <c r="O79" s="22">
        <f t="shared" si="46"/>
        <v>-876770.85990295548</v>
      </c>
      <c r="P79" s="22">
        <f>SUM(D79:O79)</f>
        <v>-10042308.599029554</v>
      </c>
    </row>
    <row r="80" spans="1:16" s="3" customFormat="1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3" customFormat="1" ht="15.75" customHeight="1" x14ac:dyDescent="0.25">
      <c r="A81" s="23"/>
      <c r="B81" s="12" t="s">
        <v>63</v>
      </c>
      <c r="C81" s="23"/>
      <c r="D81" s="12">
        <f t="shared" ref="D81:O81" si="47">SUM(D83:D90)</f>
        <v>-174200</v>
      </c>
      <c r="E81" s="12">
        <f t="shared" si="47"/>
        <v>-174200</v>
      </c>
      <c r="F81" s="12">
        <f t="shared" si="47"/>
        <v>-174200</v>
      </c>
      <c r="G81" s="12">
        <f t="shared" si="47"/>
        <v>-174200</v>
      </c>
      <c r="H81" s="12">
        <f t="shared" si="47"/>
        <v>-174200</v>
      </c>
      <c r="I81" s="12">
        <f t="shared" si="47"/>
        <v>-174200</v>
      </c>
      <c r="J81" s="12">
        <f t="shared" si="47"/>
        <v>-174200</v>
      </c>
      <c r="K81" s="12">
        <f t="shared" si="47"/>
        <v>-174200</v>
      </c>
      <c r="L81" s="12">
        <f t="shared" si="47"/>
        <v>-174200</v>
      </c>
      <c r="M81" s="12">
        <f t="shared" si="47"/>
        <v>-174200</v>
      </c>
      <c r="N81" s="12">
        <f t="shared" si="47"/>
        <v>-174200</v>
      </c>
      <c r="O81" s="12">
        <f t="shared" si="47"/>
        <v>-174200</v>
      </c>
      <c r="P81" s="12">
        <f>SUM(D81:O81)</f>
        <v>-2090400</v>
      </c>
    </row>
    <row r="82" spans="1:16" s="3" customFormat="1" ht="15.7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3" customFormat="1" ht="15.75" customHeight="1" x14ac:dyDescent="0.25">
      <c r="A83" s="1"/>
      <c r="B83" s="1" t="s">
        <v>64</v>
      </c>
      <c r="C83" s="15">
        <v>116000</v>
      </c>
      <c r="D83" s="2">
        <f t="shared" ref="D83:O83" si="48">-$C83</f>
        <v>-116000</v>
      </c>
      <c r="E83" s="2">
        <f t="shared" si="48"/>
        <v>-116000</v>
      </c>
      <c r="F83" s="2">
        <f t="shared" si="48"/>
        <v>-116000</v>
      </c>
      <c r="G83" s="2">
        <f t="shared" si="48"/>
        <v>-116000</v>
      </c>
      <c r="H83" s="2">
        <f t="shared" si="48"/>
        <v>-116000</v>
      </c>
      <c r="I83" s="2">
        <f t="shared" si="48"/>
        <v>-116000</v>
      </c>
      <c r="J83" s="2">
        <f t="shared" si="48"/>
        <v>-116000</v>
      </c>
      <c r="K83" s="2">
        <f t="shared" si="48"/>
        <v>-116000</v>
      </c>
      <c r="L83" s="2">
        <f t="shared" si="48"/>
        <v>-116000</v>
      </c>
      <c r="M83" s="2">
        <f t="shared" si="48"/>
        <v>-116000</v>
      </c>
      <c r="N83" s="2">
        <f t="shared" si="48"/>
        <v>-116000</v>
      </c>
      <c r="O83" s="2">
        <f t="shared" si="48"/>
        <v>-116000</v>
      </c>
      <c r="P83" s="2">
        <f t="shared" ref="P83:P90" si="49">SUM(D83:O83)</f>
        <v>-1392000</v>
      </c>
    </row>
    <row r="84" spans="1:16" s="3" customFormat="1" ht="15.75" customHeight="1" x14ac:dyDescent="0.25">
      <c r="A84" s="1"/>
      <c r="B84" s="1" t="s">
        <v>65</v>
      </c>
      <c r="C84" s="15">
        <v>25000</v>
      </c>
      <c r="D84" s="2">
        <f t="shared" ref="D84:O84" si="50">-$C84</f>
        <v>-25000</v>
      </c>
      <c r="E84" s="2">
        <f t="shared" si="50"/>
        <v>-25000</v>
      </c>
      <c r="F84" s="2">
        <f t="shared" si="50"/>
        <v>-25000</v>
      </c>
      <c r="G84" s="2">
        <f t="shared" si="50"/>
        <v>-25000</v>
      </c>
      <c r="H84" s="2">
        <f t="shared" si="50"/>
        <v>-25000</v>
      </c>
      <c r="I84" s="2">
        <f t="shared" si="50"/>
        <v>-25000</v>
      </c>
      <c r="J84" s="2">
        <f t="shared" si="50"/>
        <v>-25000</v>
      </c>
      <c r="K84" s="2">
        <f t="shared" si="50"/>
        <v>-25000</v>
      </c>
      <c r="L84" s="2">
        <f t="shared" si="50"/>
        <v>-25000</v>
      </c>
      <c r="M84" s="2">
        <f t="shared" si="50"/>
        <v>-25000</v>
      </c>
      <c r="N84" s="2">
        <f t="shared" si="50"/>
        <v>-25000</v>
      </c>
      <c r="O84" s="2">
        <f t="shared" si="50"/>
        <v>-25000</v>
      </c>
      <c r="P84" s="2">
        <f t="shared" si="49"/>
        <v>-300000</v>
      </c>
    </row>
    <row r="85" spans="1:16" s="3" customFormat="1" ht="15.75" customHeight="1" x14ac:dyDescent="0.25">
      <c r="A85" s="1"/>
      <c r="B85" s="1" t="s">
        <v>66</v>
      </c>
      <c r="C85" s="15">
        <v>3000</v>
      </c>
      <c r="D85" s="2">
        <f t="shared" ref="D85:O85" si="51">-$C85</f>
        <v>-3000</v>
      </c>
      <c r="E85" s="2">
        <f t="shared" si="51"/>
        <v>-3000</v>
      </c>
      <c r="F85" s="2">
        <f t="shared" si="51"/>
        <v>-3000</v>
      </c>
      <c r="G85" s="2">
        <f t="shared" si="51"/>
        <v>-3000</v>
      </c>
      <c r="H85" s="2">
        <f t="shared" si="51"/>
        <v>-3000</v>
      </c>
      <c r="I85" s="2">
        <f t="shared" si="51"/>
        <v>-3000</v>
      </c>
      <c r="J85" s="2">
        <f t="shared" si="51"/>
        <v>-3000</v>
      </c>
      <c r="K85" s="2">
        <f t="shared" si="51"/>
        <v>-3000</v>
      </c>
      <c r="L85" s="2">
        <f t="shared" si="51"/>
        <v>-3000</v>
      </c>
      <c r="M85" s="2">
        <f t="shared" si="51"/>
        <v>-3000</v>
      </c>
      <c r="N85" s="2">
        <f t="shared" si="51"/>
        <v>-3000</v>
      </c>
      <c r="O85" s="2">
        <f t="shared" si="51"/>
        <v>-3000</v>
      </c>
      <c r="P85" s="2">
        <f t="shared" si="49"/>
        <v>-36000</v>
      </c>
    </row>
    <row r="86" spans="1:16" s="3" customFormat="1" ht="15.75" customHeight="1" x14ac:dyDescent="0.25">
      <c r="A86" s="1"/>
      <c r="B86" s="1" t="s">
        <v>67</v>
      </c>
      <c r="C86" s="15">
        <v>3000</v>
      </c>
      <c r="D86" s="2">
        <f t="shared" ref="D86:O86" si="52">-$C86</f>
        <v>-3000</v>
      </c>
      <c r="E86" s="2">
        <f t="shared" si="52"/>
        <v>-3000</v>
      </c>
      <c r="F86" s="2">
        <f t="shared" si="52"/>
        <v>-3000</v>
      </c>
      <c r="G86" s="2">
        <f t="shared" si="52"/>
        <v>-3000</v>
      </c>
      <c r="H86" s="2">
        <f t="shared" si="52"/>
        <v>-3000</v>
      </c>
      <c r="I86" s="2">
        <f t="shared" si="52"/>
        <v>-3000</v>
      </c>
      <c r="J86" s="2">
        <f t="shared" si="52"/>
        <v>-3000</v>
      </c>
      <c r="K86" s="2">
        <f t="shared" si="52"/>
        <v>-3000</v>
      </c>
      <c r="L86" s="2">
        <f t="shared" si="52"/>
        <v>-3000</v>
      </c>
      <c r="M86" s="2">
        <f t="shared" si="52"/>
        <v>-3000</v>
      </c>
      <c r="N86" s="2">
        <f t="shared" si="52"/>
        <v>-3000</v>
      </c>
      <c r="O86" s="2">
        <f t="shared" si="52"/>
        <v>-3000</v>
      </c>
      <c r="P86" s="2">
        <f t="shared" si="49"/>
        <v>-36000</v>
      </c>
    </row>
    <row r="87" spans="1:16" s="3" customFormat="1" ht="15.75" customHeight="1" x14ac:dyDescent="0.25">
      <c r="A87" s="1"/>
      <c r="B87" s="1" t="s">
        <v>68</v>
      </c>
      <c r="C87" s="15">
        <v>800</v>
      </c>
      <c r="D87" s="2">
        <f t="shared" ref="D87:O87" si="53">-$C87</f>
        <v>-800</v>
      </c>
      <c r="E87" s="2">
        <f t="shared" si="53"/>
        <v>-800</v>
      </c>
      <c r="F87" s="2">
        <f t="shared" si="53"/>
        <v>-800</v>
      </c>
      <c r="G87" s="2">
        <f t="shared" si="53"/>
        <v>-800</v>
      </c>
      <c r="H87" s="2">
        <f t="shared" si="53"/>
        <v>-800</v>
      </c>
      <c r="I87" s="2">
        <f t="shared" si="53"/>
        <v>-800</v>
      </c>
      <c r="J87" s="2">
        <f t="shared" si="53"/>
        <v>-800</v>
      </c>
      <c r="K87" s="2">
        <f t="shared" si="53"/>
        <v>-800</v>
      </c>
      <c r="L87" s="2">
        <f t="shared" si="53"/>
        <v>-800</v>
      </c>
      <c r="M87" s="2">
        <f t="shared" si="53"/>
        <v>-800</v>
      </c>
      <c r="N87" s="2">
        <f t="shared" si="53"/>
        <v>-800</v>
      </c>
      <c r="O87" s="2">
        <f t="shared" si="53"/>
        <v>-800</v>
      </c>
      <c r="P87" s="2">
        <f t="shared" si="49"/>
        <v>-9600</v>
      </c>
    </row>
    <row r="88" spans="1:16" s="3" customFormat="1" ht="15.75" customHeight="1" x14ac:dyDescent="0.25">
      <c r="A88" s="1"/>
      <c r="B88" s="1" t="s">
        <v>69</v>
      </c>
      <c r="C88" s="15">
        <v>1000</v>
      </c>
      <c r="D88" s="2">
        <f t="shared" ref="D88:O88" si="54">-$C88</f>
        <v>-1000</v>
      </c>
      <c r="E88" s="2">
        <f t="shared" si="54"/>
        <v>-1000</v>
      </c>
      <c r="F88" s="2">
        <f t="shared" si="54"/>
        <v>-1000</v>
      </c>
      <c r="G88" s="2">
        <f t="shared" si="54"/>
        <v>-1000</v>
      </c>
      <c r="H88" s="2">
        <f t="shared" si="54"/>
        <v>-1000</v>
      </c>
      <c r="I88" s="2">
        <f t="shared" si="54"/>
        <v>-1000</v>
      </c>
      <c r="J88" s="2">
        <f t="shared" si="54"/>
        <v>-1000</v>
      </c>
      <c r="K88" s="2">
        <f t="shared" si="54"/>
        <v>-1000</v>
      </c>
      <c r="L88" s="2">
        <f t="shared" si="54"/>
        <v>-1000</v>
      </c>
      <c r="M88" s="2">
        <f t="shared" si="54"/>
        <v>-1000</v>
      </c>
      <c r="N88" s="2">
        <f t="shared" si="54"/>
        <v>-1000</v>
      </c>
      <c r="O88" s="2">
        <f t="shared" si="54"/>
        <v>-1000</v>
      </c>
      <c r="P88" s="2">
        <f t="shared" si="49"/>
        <v>-12000</v>
      </c>
    </row>
    <row r="89" spans="1:16" s="3" customFormat="1" ht="15.75" customHeight="1" x14ac:dyDescent="0.25">
      <c r="A89" s="1"/>
      <c r="B89" s="1" t="s">
        <v>70</v>
      </c>
      <c r="C89" s="15">
        <v>400</v>
      </c>
      <c r="D89" s="2">
        <f t="shared" ref="D89:O89" si="55">-$C89</f>
        <v>-400</v>
      </c>
      <c r="E89" s="2">
        <f t="shared" si="55"/>
        <v>-400</v>
      </c>
      <c r="F89" s="2">
        <f t="shared" si="55"/>
        <v>-400</v>
      </c>
      <c r="G89" s="2">
        <f t="shared" si="55"/>
        <v>-400</v>
      </c>
      <c r="H89" s="2">
        <f t="shared" si="55"/>
        <v>-400</v>
      </c>
      <c r="I89" s="2">
        <f t="shared" si="55"/>
        <v>-400</v>
      </c>
      <c r="J89" s="2">
        <f t="shared" si="55"/>
        <v>-400</v>
      </c>
      <c r="K89" s="2">
        <f t="shared" si="55"/>
        <v>-400</v>
      </c>
      <c r="L89" s="2">
        <f t="shared" si="55"/>
        <v>-400</v>
      </c>
      <c r="M89" s="2">
        <f t="shared" si="55"/>
        <v>-400</v>
      </c>
      <c r="N89" s="2">
        <f t="shared" si="55"/>
        <v>-400</v>
      </c>
      <c r="O89" s="2">
        <f t="shared" si="55"/>
        <v>-400</v>
      </c>
      <c r="P89" s="2">
        <f t="shared" si="49"/>
        <v>-4800</v>
      </c>
    </row>
    <row r="90" spans="1:16" s="3" customFormat="1" ht="15.75" customHeight="1" x14ac:dyDescent="0.25">
      <c r="A90" s="1"/>
      <c r="B90" s="1" t="s">
        <v>71</v>
      </c>
      <c r="C90" s="15">
        <v>25000</v>
      </c>
      <c r="D90" s="2">
        <f t="shared" ref="D90:O90" si="56">-$C90</f>
        <v>-25000</v>
      </c>
      <c r="E90" s="2">
        <f t="shared" si="56"/>
        <v>-25000</v>
      </c>
      <c r="F90" s="2">
        <f t="shared" si="56"/>
        <v>-25000</v>
      </c>
      <c r="G90" s="2">
        <f t="shared" si="56"/>
        <v>-25000</v>
      </c>
      <c r="H90" s="2">
        <f t="shared" si="56"/>
        <v>-25000</v>
      </c>
      <c r="I90" s="2">
        <f t="shared" si="56"/>
        <v>-25000</v>
      </c>
      <c r="J90" s="2">
        <f t="shared" si="56"/>
        <v>-25000</v>
      </c>
      <c r="K90" s="2">
        <f t="shared" si="56"/>
        <v>-25000</v>
      </c>
      <c r="L90" s="2">
        <f t="shared" si="56"/>
        <v>-25000</v>
      </c>
      <c r="M90" s="2">
        <f t="shared" si="56"/>
        <v>-25000</v>
      </c>
      <c r="N90" s="2">
        <f t="shared" si="56"/>
        <v>-25000</v>
      </c>
      <c r="O90" s="2">
        <f t="shared" si="56"/>
        <v>-25000</v>
      </c>
      <c r="P90" s="2">
        <f t="shared" si="49"/>
        <v>-300000</v>
      </c>
    </row>
    <row r="91" spans="1:16" s="3" customFormat="1" ht="15.75" customHeight="1" x14ac:dyDescent="0.25">
      <c r="A91" s="1"/>
      <c r="B91" s="1"/>
      <c r="C91" s="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3" customFormat="1" ht="15.75" customHeight="1" x14ac:dyDescent="0.25">
      <c r="A92" s="23"/>
      <c r="B92" s="12" t="s">
        <v>72</v>
      </c>
      <c r="C92" s="23"/>
      <c r="D92" s="12">
        <f t="shared" ref="D92:O92" si="57">SUM(D94:D99)</f>
        <v>-702570.85990295548</v>
      </c>
      <c r="E92" s="12">
        <f t="shared" si="57"/>
        <v>-702570.85990295548</v>
      </c>
      <c r="F92" s="12">
        <f t="shared" si="57"/>
        <v>-702570.85990295548</v>
      </c>
      <c r="G92" s="12">
        <f t="shared" si="57"/>
        <v>-654676.68792236433</v>
      </c>
      <c r="H92" s="12">
        <f t="shared" si="57"/>
        <v>-654676.68792236433</v>
      </c>
      <c r="I92" s="12">
        <f t="shared" si="57"/>
        <v>-558888.34396118217</v>
      </c>
      <c r="J92" s="12">
        <f t="shared" si="57"/>
        <v>-558888.34396118217</v>
      </c>
      <c r="K92" s="12">
        <f t="shared" si="57"/>
        <v>-606782.51594177331</v>
      </c>
      <c r="L92" s="12">
        <f t="shared" si="57"/>
        <v>-702570.85990295548</v>
      </c>
      <c r="M92" s="12">
        <f t="shared" si="57"/>
        <v>-702570.85990295548</v>
      </c>
      <c r="N92" s="12">
        <f t="shared" si="57"/>
        <v>-702570.85990295548</v>
      </c>
      <c r="O92" s="12">
        <f t="shared" si="57"/>
        <v>-702570.85990295548</v>
      </c>
      <c r="P92" s="12">
        <f>SUM(D92:O92)</f>
        <v>-7951908.599029555</v>
      </c>
    </row>
    <row r="93" spans="1:16" s="3" customFormat="1" ht="15.75" customHeight="1" x14ac:dyDescent="0.25">
      <c r="A93" s="1"/>
      <c r="B93" s="1"/>
      <c r="C93" s="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3" customFormat="1" ht="15.75" customHeight="1" x14ac:dyDescent="0.25">
      <c r="A94" s="2"/>
      <c r="B94" s="2" t="s">
        <v>73</v>
      </c>
      <c r="C94" s="15">
        <v>76300</v>
      </c>
      <c r="D94" s="2">
        <f t="shared" ref="D94:O94" si="58">-$C94</f>
        <v>-76300</v>
      </c>
      <c r="E94" s="2">
        <f t="shared" si="58"/>
        <v>-76300</v>
      </c>
      <c r="F94" s="2">
        <f t="shared" si="58"/>
        <v>-76300</v>
      </c>
      <c r="G94" s="2">
        <f t="shared" si="58"/>
        <v>-76300</v>
      </c>
      <c r="H94" s="2">
        <f t="shared" si="58"/>
        <v>-76300</v>
      </c>
      <c r="I94" s="2">
        <f t="shared" si="58"/>
        <v>-76300</v>
      </c>
      <c r="J94" s="2">
        <f t="shared" si="58"/>
        <v>-76300</v>
      </c>
      <c r="K94" s="2">
        <f t="shared" si="58"/>
        <v>-76300</v>
      </c>
      <c r="L94" s="2">
        <f t="shared" si="58"/>
        <v>-76300</v>
      </c>
      <c r="M94" s="2">
        <f t="shared" si="58"/>
        <v>-76300</v>
      </c>
      <c r="N94" s="2">
        <f t="shared" si="58"/>
        <v>-76300</v>
      </c>
      <c r="O94" s="2">
        <f t="shared" si="58"/>
        <v>-76300</v>
      </c>
      <c r="P94" s="2">
        <f t="shared" ref="P94:P96" si="59">SUM(D94:O94)</f>
        <v>-915600</v>
      </c>
    </row>
    <row r="95" spans="1:16" s="3" customFormat="1" ht="15.75" customHeight="1" x14ac:dyDescent="0.25">
      <c r="A95" s="2"/>
      <c r="B95" s="2" t="s">
        <v>74</v>
      </c>
      <c r="C95" s="15">
        <v>67700</v>
      </c>
      <c r="D95" s="2">
        <f t="shared" ref="D95:O95" si="60">-$C95</f>
        <v>-67700</v>
      </c>
      <c r="E95" s="2">
        <f t="shared" si="60"/>
        <v>-67700</v>
      </c>
      <c r="F95" s="2">
        <f t="shared" si="60"/>
        <v>-67700</v>
      </c>
      <c r="G95" s="2">
        <f t="shared" si="60"/>
        <v>-67700</v>
      </c>
      <c r="H95" s="2">
        <f t="shared" si="60"/>
        <v>-67700</v>
      </c>
      <c r="I95" s="2">
        <f t="shared" si="60"/>
        <v>-67700</v>
      </c>
      <c r="J95" s="2">
        <f t="shared" si="60"/>
        <v>-67700</v>
      </c>
      <c r="K95" s="2">
        <f t="shared" si="60"/>
        <v>-67700</v>
      </c>
      <c r="L95" s="2">
        <f t="shared" si="60"/>
        <v>-67700</v>
      </c>
      <c r="M95" s="2">
        <f t="shared" si="60"/>
        <v>-67700</v>
      </c>
      <c r="N95" s="2">
        <f t="shared" si="60"/>
        <v>-67700</v>
      </c>
      <c r="O95" s="2">
        <f t="shared" si="60"/>
        <v>-67700</v>
      </c>
      <c r="P95" s="2">
        <f t="shared" si="59"/>
        <v>-812400</v>
      </c>
    </row>
    <row r="96" spans="1:16" s="3" customFormat="1" ht="15.75" customHeight="1" x14ac:dyDescent="0.25">
      <c r="A96" s="2"/>
      <c r="B96" s="2" t="s">
        <v>75</v>
      </c>
      <c r="C96" s="15">
        <v>12500</v>
      </c>
      <c r="D96" s="2">
        <f t="shared" ref="D96:O96" si="61">-$C96</f>
        <v>-12500</v>
      </c>
      <c r="E96" s="2">
        <f t="shared" si="61"/>
        <v>-12500</v>
      </c>
      <c r="F96" s="2">
        <f t="shared" si="61"/>
        <v>-12500</v>
      </c>
      <c r="G96" s="2">
        <f t="shared" si="61"/>
        <v>-12500</v>
      </c>
      <c r="H96" s="2">
        <f t="shared" si="61"/>
        <v>-12500</v>
      </c>
      <c r="I96" s="2">
        <f t="shared" si="61"/>
        <v>-12500</v>
      </c>
      <c r="J96" s="2">
        <f t="shared" si="61"/>
        <v>-12500</v>
      </c>
      <c r="K96" s="2">
        <f t="shared" si="61"/>
        <v>-12500</v>
      </c>
      <c r="L96" s="2">
        <f t="shared" si="61"/>
        <v>-12500</v>
      </c>
      <c r="M96" s="2">
        <f t="shared" si="61"/>
        <v>-12500</v>
      </c>
      <c r="N96" s="2">
        <f t="shared" si="61"/>
        <v>-12500</v>
      </c>
      <c r="O96" s="2">
        <f t="shared" si="61"/>
        <v>-12500</v>
      </c>
      <c r="P96" s="2">
        <f t="shared" si="59"/>
        <v>-150000</v>
      </c>
    </row>
    <row r="97" spans="1:16" s="3" customFormat="1" ht="15.75" customHeight="1" x14ac:dyDescent="0.25">
      <c r="A97" s="2"/>
      <c r="B97" s="2" t="s">
        <v>76</v>
      </c>
      <c r="C97" s="17">
        <v>0.03</v>
      </c>
      <c r="D97" s="2">
        <f t="shared" ref="D97:P97" si="62">-$C$97*(D16)</f>
        <v>-239470.85990295548</v>
      </c>
      <c r="E97" s="2">
        <f t="shared" si="62"/>
        <v>-239470.85990295548</v>
      </c>
      <c r="F97" s="2">
        <f t="shared" si="62"/>
        <v>-239470.85990295548</v>
      </c>
      <c r="G97" s="2">
        <f t="shared" si="62"/>
        <v>-191576.68792236439</v>
      </c>
      <c r="H97" s="2">
        <f t="shared" si="62"/>
        <v>-191576.68792236439</v>
      </c>
      <c r="I97" s="2">
        <f t="shared" si="62"/>
        <v>-95788.343961182196</v>
      </c>
      <c r="J97" s="2">
        <f t="shared" si="62"/>
        <v>-95788.343961182196</v>
      </c>
      <c r="K97" s="2">
        <f t="shared" si="62"/>
        <v>-143682.51594177328</v>
      </c>
      <c r="L97" s="2">
        <f t="shared" si="62"/>
        <v>-239470.85990295548</v>
      </c>
      <c r="M97" s="2">
        <f t="shared" si="62"/>
        <v>-239470.85990295548</v>
      </c>
      <c r="N97" s="2">
        <f t="shared" si="62"/>
        <v>-239470.85990295548</v>
      </c>
      <c r="O97" s="2">
        <f t="shared" si="62"/>
        <v>-239470.85990295548</v>
      </c>
      <c r="P97" s="2">
        <f t="shared" si="62"/>
        <v>-2394708.599029555</v>
      </c>
    </row>
    <row r="98" spans="1:16" s="3" customFormat="1" ht="15.75" customHeight="1" x14ac:dyDescent="0.25">
      <c r="A98" s="1"/>
      <c r="B98" s="1" t="s">
        <v>77</v>
      </c>
      <c r="C98" s="15">
        <v>6600</v>
      </c>
      <c r="D98" s="2">
        <f t="shared" ref="D98:O98" si="63">-$C98</f>
        <v>-6600</v>
      </c>
      <c r="E98" s="2">
        <f t="shared" si="63"/>
        <v>-6600</v>
      </c>
      <c r="F98" s="2">
        <f t="shared" si="63"/>
        <v>-6600</v>
      </c>
      <c r="G98" s="2">
        <f t="shared" si="63"/>
        <v>-6600</v>
      </c>
      <c r="H98" s="2">
        <f t="shared" si="63"/>
        <v>-6600</v>
      </c>
      <c r="I98" s="2">
        <f t="shared" si="63"/>
        <v>-6600</v>
      </c>
      <c r="J98" s="2">
        <f t="shared" si="63"/>
        <v>-6600</v>
      </c>
      <c r="K98" s="2">
        <f t="shared" si="63"/>
        <v>-6600</v>
      </c>
      <c r="L98" s="2">
        <f t="shared" si="63"/>
        <v>-6600</v>
      </c>
      <c r="M98" s="2">
        <f t="shared" si="63"/>
        <v>-6600</v>
      </c>
      <c r="N98" s="2">
        <f t="shared" si="63"/>
        <v>-6600</v>
      </c>
      <c r="O98" s="2">
        <f t="shared" si="63"/>
        <v>-6600</v>
      </c>
      <c r="P98" s="2">
        <f t="shared" ref="P98:P99" si="64">SUM(D98:O98)</f>
        <v>-79200</v>
      </c>
    </row>
    <row r="99" spans="1:16" s="3" customFormat="1" ht="15.75" customHeight="1" x14ac:dyDescent="0.25">
      <c r="A99" s="1"/>
      <c r="B99" s="1" t="s">
        <v>78</v>
      </c>
      <c r="C99" s="15">
        <v>300000</v>
      </c>
      <c r="D99" s="2">
        <f t="shared" ref="D99:O99" si="65">-$C$99</f>
        <v>-300000</v>
      </c>
      <c r="E99" s="2">
        <f t="shared" si="65"/>
        <v>-300000</v>
      </c>
      <c r="F99" s="2">
        <f t="shared" si="65"/>
        <v>-300000</v>
      </c>
      <c r="G99" s="2">
        <f t="shared" si="65"/>
        <v>-300000</v>
      </c>
      <c r="H99" s="2">
        <f t="shared" si="65"/>
        <v>-300000</v>
      </c>
      <c r="I99" s="2">
        <f t="shared" si="65"/>
        <v>-300000</v>
      </c>
      <c r="J99" s="2">
        <f t="shared" si="65"/>
        <v>-300000</v>
      </c>
      <c r="K99" s="2">
        <f t="shared" si="65"/>
        <v>-300000</v>
      </c>
      <c r="L99" s="2">
        <f t="shared" si="65"/>
        <v>-300000</v>
      </c>
      <c r="M99" s="2">
        <f t="shared" si="65"/>
        <v>-300000</v>
      </c>
      <c r="N99" s="2">
        <f t="shared" si="65"/>
        <v>-300000</v>
      </c>
      <c r="O99" s="2">
        <f t="shared" si="65"/>
        <v>-300000</v>
      </c>
      <c r="P99" s="2">
        <f t="shared" si="64"/>
        <v>-3600000</v>
      </c>
    </row>
    <row r="100" spans="1:16" s="3" customFormat="1" ht="15.75" customHeight="1" x14ac:dyDescent="0.25">
      <c r="A100" s="1"/>
      <c r="B100" s="1"/>
      <c r="C100" s="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3" customFormat="1" ht="15.75" customHeight="1" x14ac:dyDescent="0.25">
      <c r="A101" s="11"/>
      <c r="B101" s="10" t="s">
        <v>79</v>
      </c>
      <c r="C101" s="11"/>
      <c r="D101" s="10">
        <f t="shared" ref="D101:O101" si="66">D76+D79</f>
        <v>1821332.6561188586</v>
      </c>
      <c r="E101" s="10">
        <f t="shared" si="66"/>
        <v>1821332.6561188586</v>
      </c>
      <c r="F101" s="10">
        <f t="shared" si="66"/>
        <v>1821332.6561188586</v>
      </c>
      <c r="G101" s="10">
        <f t="shared" si="66"/>
        <v>1281166.1248950863</v>
      </c>
      <c r="H101" s="10">
        <f t="shared" si="66"/>
        <v>1281166.1248950863</v>
      </c>
      <c r="I101" s="10">
        <f t="shared" si="66"/>
        <v>200833.06244754314</v>
      </c>
      <c r="J101" s="10">
        <f t="shared" si="66"/>
        <v>200833.06244754314</v>
      </c>
      <c r="K101" s="10">
        <f t="shared" si="66"/>
        <v>740999.59367131512</v>
      </c>
      <c r="L101" s="10">
        <f t="shared" si="66"/>
        <v>1821332.6561188586</v>
      </c>
      <c r="M101" s="10">
        <f t="shared" si="66"/>
        <v>1821332.6561188586</v>
      </c>
      <c r="N101" s="10">
        <f t="shared" si="66"/>
        <v>1821332.6561188586</v>
      </c>
      <c r="O101" s="10">
        <f t="shared" si="66"/>
        <v>1821332.6561188586</v>
      </c>
      <c r="P101" s="10">
        <f>SUM(D101:O101)</f>
        <v>16454326.561188584</v>
      </c>
    </row>
    <row r="102" spans="1:16" s="3" customFormat="1" ht="15.75" customHeight="1" x14ac:dyDescent="0.25">
      <c r="A102" s="2"/>
      <c r="B102" s="28" t="s">
        <v>80</v>
      </c>
      <c r="C102" s="29"/>
      <c r="D102" s="25">
        <f t="shared" ref="D102:O102" si="67">IFERROR(D101/D$16,0)</f>
        <v>0.22816963911896573</v>
      </c>
      <c r="E102" s="25">
        <f t="shared" si="67"/>
        <v>0.22816963911896573</v>
      </c>
      <c r="F102" s="25">
        <f t="shared" si="67"/>
        <v>0.22816963911896573</v>
      </c>
      <c r="G102" s="25">
        <f t="shared" si="67"/>
        <v>0.20062453403739913</v>
      </c>
      <c r="H102" s="25">
        <f t="shared" si="67"/>
        <v>0.20062453403739913</v>
      </c>
      <c r="I102" s="25">
        <f t="shared" si="67"/>
        <v>6.2899008629566613E-2</v>
      </c>
      <c r="J102" s="25">
        <f t="shared" si="67"/>
        <v>6.2899008629566613E-2</v>
      </c>
      <c r="K102" s="25">
        <f t="shared" si="67"/>
        <v>0.15471602556812172</v>
      </c>
      <c r="L102" s="25">
        <f t="shared" si="67"/>
        <v>0.22816963911896573</v>
      </c>
      <c r="M102" s="25">
        <f t="shared" si="67"/>
        <v>0.22816963911896573</v>
      </c>
      <c r="N102" s="25">
        <f t="shared" si="67"/>
        <v>0.22816963911896573</v>
      </c>
      <c r="O102" s="25">
        <f t="shared" si="67"/>
        <v>0.22816963911896573</v>
      </c>
      <c r="P102" s="6"/>
    </row>
    <row r="103" spans="1:16" s="3" customFormat="1" ht="15.75" customHeight="1" x14ac:dyDescent="0.25">
      <c r="A103" s="1"/>
      <c r="B103" s="1"/>
      <c r="C103" s="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3" customFormat="1" ht="15.75" customHeight="1" x14ac:dyDescent="0.25">
      <c r="A104" s="1"/>
      <c r="B104" s="1" t="s">
        <v>81</v>
      </c>
      <c r="C104" s="27"/>
      <c r="D104" s="2">
        <f t="shared" ref="D104:O104" si="68">D122</f>
        <v>-32398.039999999997</v>
      </c>
      <c r="E104" s="2">
        <f t="shared" si="68"/>
        <v>-30649.69</v>
      </c>
      <c r="F104" s="2">
        <f t="shared" si="68"/>
        <v>-28883.856499999998</v>
      </c>
      <c r="G104" s="2">
        <f t="shared" si="68"/>
        <v>-27100.364665000001</v>
      </c>
      <c r="H104" s="2">
        <f t="shared" si="68"/>
        <v>-25299.037911650001</v>
      </c>
      <c r="I104" s="2">
        <f t="shared" si="68"/>
        <v>-23479.697890766503</v>
      </c>
      <c r="J104" s="2">
        <f t="shared" si="68"/>
        <v>-21642.164469674168</v>
      </c>
      <c r="K104" s="2">
        <f t="shared" si="68"/>
        <v>-19786.255714370909</v>
      </c>
      <c r="L104" s="2">
        <f t="shared" si="68"/>
        <v>-17911.787871514618</v>
      </c>
      <c r="M104" s="2">
        <f t="shared" si="68"/>
        <v>-16018.575350229765</v>
      </c>
      <c r="N104" s="2">
        <f t="shared" si="68"/>
        <v>-14106.430703732063</v>
      </c>
      <c r="O104" s="2">
        <f t="shared" si="68"/>
        <v>-12175.164610769383</v>
      </c>
      <c r="P104" s="2"/>
    </row>
    <row r="105" spans="1:16" s="3" customFormat="1" ht="15.75" customHeight="1" x14ac:dyDescent="0.25">
      <c r="A105" s="1"/>
      <c r="B105" s="1" t="s">
        <v>82</v>
      </c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3" customFormat="1" ht="15.75" customHeight="1" x14ac:dyDescent="0.25">
      <c r="A106" s="1"/>
      <c r="B106" s="1" t="s">
        <v>83</v>
      </c>
      <c r="C106" s="30"/>
      <c r="D106" s="2">
        <f>-C106</f>
        <v>0</v>
      </c>
      <c r="E106" s="2">
        <f t="shared" ref="E106:O106" si="69">D106</f>
        <v>0</v>
      </c>
      <c r="F106" s="2">
        <f t="shared" si="69"/>
        <v>0</v>
      </c>
      <c r="G106" s="2">
        <f t="shared" si="69"/>
        <v>0</v>
      </c>
      <c r="H106" s="2">
        <f t="shared" si="69"/>
        <v>0</v>
      </c>
      <c r="I106" s="2">
        <f t="shared" si="69"/>
        <v>0</v>
      </c>
      <c r="J106" s="2">
        <f t="shared" si="69"/>
        <v>0</v>
      </c>
      <c r="K106" s="2">
        <f t="shared" si="69"/>
        <v>0</v>
      </c>
      <c r="L106" s="2">
        <f t="shared" si="69"/>
        <v>0</v>
      </c>
      <c r="M106" s="2">
        <f t="shared" si="69"/>
        <v>0</v>
      </c>
      <c r="N106" s="2">
        <f t="shared" si="69"/>
        <v>0</v>
      </c>
      <c r="O106" s="2">
        <f t="shared" si="69"/>
        <v>0</v>
      </c>
      <c r="P106" s="2"/>
    </row>
    <row r="107" spans="1:16" s="3" customFormat="1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3" customFormat="1" ht="15.75" customHeight="1" x14ac:dyDescent="0.25">
      <c r="A108" s="11"/>
      <c r="B108" s="10" t="s">
        <v>84</v>
      </c>
      <c r="C108" s="11"/>
      <c r="D108" s="10">
        <f t="shared" ref="D108:O108" si="70">D101+D104+D106</f>
        <v>1788934.6161188586</v>
      </c>
      <c r="E108" s="10">
        <f t="shared" si="70"/>
        <v>1790682.9661188587</v>
      </c>
      <c r="F108" s="10">
        <f t="shared" si="70"/>
        <v>1792448.7996188586</v>
      </c>
      <c r="G108" s="10">
        <f t="shared" si="70"/>
        <v>1254065.7602300863</v>
      </c>
      <c r="H108" s="10">
        <f t="shared" si="70"/>
        <v>1255867.0869834363</v>
      </c>
      <c r="I108" s="10">
        <f t="shared" si="70"/>
        <v>177353.36455677665</v>
      </c>
      <c r="J108" s="10">
        <f t="shared" si="70"/>
        <v>179190.89797786897</v>
      </c>
      <c r="K108" s="10">
        <f t="shared" si="70"/>
        <v>721213.33795694425</v>
      </c>
      <c r="L108" s="10">
        <f t="shared" si="70"/>
        <v>1803420.8682473439</v>
      </c>
      <c r="M108" s="10">
        <f t="shared" si="70"/>
        <v>1805314.0807686287</v>
      </c>
      <c r="N108" s="10">
        <f t="shared" si="70"/>
        <v>1807226.2254151267</v>
      </c>
      <c r="O108" s="10">
        <f t="shared" si="70"/>
        <v>1809157.4915080892</v>
      </c>
      <c r="P108" s="10">
        <f>SUM(D108:O108)</f>
        <v>16184875.495500876</v>
      </c>
    </row>
    <row r="109" spans="1:16" s="3" customFormat="1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3" customFormat="1" ht="15.75" customHeight="1" x14ac:dyDescent="0.25">
      <c r="A110" s="1"/>
      <c r="B110" s="1" t="s">
        <v>85</v>
      </c>
      <c r="C110" s="18">
        <v>0.06</v>
      </c>
      <c r="D110" s="2">
        <f t="shared" ref="D110:O110" si="71">-D108*$C$110</f>
        <v>-107336.07696713151</v>
      </c>
      <c r="E110" s="2">
        <f t="shared" si="71"/>
        <v>-107440.97796713152</v>
      </c>
      <c r="F110" s="2">
        <f t="shared" si="71"/>
        <v>-107546.92797713152</v>
      </c>
      <c r="G110" s="2">
        <f t="shared" si="71"/>
        <v>-75243.945613805176</v>
      </c>
      <c r="H110" s="2">
        <f t="shared" si="71"/>
        <v>-75352.025219006173</v>
      </c>
      <c r="I110" s="2">
        <f t="shared" si="71"/>
        <v>-10641.201873406599</v>
      </c>
      <c r="J110" s="2">
        <f t="shared" si="71"/>
        <v>-10751.453878672137</v>
      </c>
      <c r="K110" s="2">
        <f t="shared" si="71"/>
        <v>-43272.800277416653</v>
      </c>
      <c r="L110" s="2">
        <f t="shared" si="71"/>
        <v>-108205.25209484063</v>
      </c>
      <c r="M110" s="2">
        <f t="shared" si="71"/>
        <v>-108318.84484611772</v>
      </c>
      <c r="N110" s="2">
        <f t="shared" si="71"/>
        <v>-108433.5735249076</v>
      </c>
      <c r="O110" s="2">
        <f t="shared" si="71"/>
        <v>-108549.44949048535</v>
      </c>
      <c r="P110" s="2"/>
    </row>
    <row r="111" spans="1:16" s="3" customFormat="1" ht="15.75" customHeight="1" x14ac:dyDescent="0.25">
      <c r="A111" s="1"/>
      <c r="B111" s="31"/>
      <c r="C111" s="29"/>
      <c r="D111" s="32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"/>
    </row>
    <row r="112" spans="1:16" s="3" customFormat="1" ht="15.75" customHeight="1" x14ac:dyDescent="0.25">
      <c r="A112" s="11"/>
      <c r="B112" s="10" t="s">
        <v>86</v>
      </c>
      <c r="C112" s="11"/>
      <c r="D112" s="10">
        <f t="shared" ref="D112:O112" si="72">D108+D110</f>
        <v>1681598.539151727</v>
      </c>
      <c r="E112" s="10">
        <f t="shared" si="72"/>
        <v>1683241.9881517272</v>
      </c>
      <c r="F112" s="10">
        <f t="shared" si="72"/>
        <v>1684901.8716417272</v>
      </c>
      <c r="G112" s="10">
        <f t="shared" si="72"/>
        <v>1178821.8146162811</v>
      </c>
      <c r="H112" s="10">
        <f t="shared" si="72"/>
        <v>1180515.06176443</v>
      </c>
      <c r="I112" s="10">
        <f t="shared" si="72"/>
        <v>166712.16268337006</v>
      </c>
      <c r="J112" s="10">
        <f t="shared" si="72"/>
        <v>168439.44409919684</v>
      </c>
      <c r="K112" s="10">
        <f t="shared" si="72"/>
        <v>677940.53767952765</v>
      </c>
      <c r="L112" s="10">
        <f t="shared" si="72"/>
        <v>1695215.6161525033</v>
      </c>
      <c r="M112" s="10">
        <f t="shared" si="72"/>
        <v>1696995.235922511</v>
      </c>
      <c r="N112" s="10">
        <f t="shared" si="72"/>
        <v>1698792.651890219</v>
      </c>
      <c r="O112" s="10">
        <f t="shared" si="72"/>
        <v>1700608.042017604</v>
      </c>
      <c r="P112" s="10">
        <f>SUM(D112:O112)</f>
        <v>15213782.965770822</v>
      </c>
    </row>
    <row r="113" spans="1:16" s="3" customFormat="1" ht="15.75" customHeight="1" x14ac:dyDescent="0.25">
      <c r="A113" s="2"/>
      <c r="B113" s="28" t="s">
        <v>87</v>
      </c>
      <c r="C113" s="29"/>
      <c r="D113" s="25">
        <f t="shared" ref="D113:O113" si="73">IFERROR(D112/D$16,0)</f>
        <v>0.21066427954948513</v>
      </c>
      <c r="E113" s="25">
        <f t="shared" si="73"/>
        <v>0.21087016459963273</v>
      </c>
      <c r="F113" s="25">
        <f t="shared" si="73"/>
        <v>0.21107810850028177</v>
      </c>
      <c r="G113" s="25">
        <f t="shared" si="73"/>
        <v>0.18459790083029204</v>
      </c>
      <c r="H113" s="25">
        <f t="shared" si="73"/>
        <v>0.18486305529660715</v>
      </c>
      <c r="I113" s="25">
        <f t="shared" si="73"/>
        <v>5.2212666736653077E-2</v>
      </c>
      <c r="J113" s="25">
        <f t="shared" si="73"/>
        <v>5.2753634878829156E-2</v>
      </c>
      <c r="K113" s="25">
        <f t="shared" si="73"/>
        <v>0.141549693761124</v>
      </c>
      <c r="L113" s="25">
        <f t="shared" si="73"/>
        <v>0.21237017524881507</v>
      </c>
      <c r="M113" s="25">
        <f t="shared" si="73"/>
        <v>0.21259311925595592</v>
      </c>
      <c r="N113" s="25">
        <f t="shared" si="73"/>
        <v>0.21281829270316821</v>
      </c>
      <c r="O113" s="25">
        <f t="shared" si="73"/>
        <v>0.2130457178848526</v>
      </c>
      <c r="P113" s="6"/>
    </row>
    <row r="114" spans="1:16" s="3" customFormat="1" ht="15.75" customHeight="1" x14ac:dyDescent="0.25">
      <c r="A114" s="2"/>
      <c r="B114" s="33" t="s">
        <v>88</v>
      </c>
      <c r="C114" s="29"/>
      <c r="D114" s="34">
        <f t="shared" ref="D114:O114" si="74">C114+D112</f>
        <v>1681598.539151727</v>
      </c>
      <c r="E114" s="34">
        <f t="shared" si="74"/>
        <v>3364840.5273034545</v>
      </c>
      <c r="F114" s="34">
        <f t="shared" si="74"/>
        <v>5049742.3989451816</v>
      </c>
      <c r="G114" s="34">
        <f t="shared" si="74"/>
        <v>6228564.2135614622</v>
      </c>
      <c r="H114" s="34">
        <f t="shared" si="74"/>
        <v>7409079.2753258925</v>
      </c>
      <c r="I114" s="34">
        <f t="shared" si="74"/>
        <v>7575791.4380092621</v>
      </c>
      <c r="J114" s="34">
        <f t="shared" si="74"/>
        <v>7744230.8821084592</v>
      </c>
      <c r="K114" s="34">
        <f t="shared" si="74"/>
        <v>8422171.4197879862</v>
      </c>
      <c r="L114" s="34">
        <f t="shared" si="74"/>
        <v>10117387.035940489</v>
      </c>
      <c r="M114" s="34">
        <f t="shared" si="74"/>
        <v>11814382.271863</v>
      </c>
      <c r="N114" s="34">
        <f t="shared" si="74"/>
        <v>13513174.923753219</v>
      </c>
      <c r="O114" s="34">
        <f t="shared" si="74"/>
        <v>15213782.965770822</v>
      </c>
      <c r="P114" s="2"/>
    </row>
    <row r="115" spans="1:16" s="3" customFormat="1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3" customFormat="1" ht="15.75" customHeight="1" x14ac:dyDescent="0.25">
      <c r="A116" s="11"/>
      <c r="B116" s="10" t="s">
        <v>89</v>
      </c>
      <c r="C116" s="11"/>
      <c r="D116" s="10">
        <f t="shared" ref="D116:O116" si="75">D123+D125</f>
        <v>-342994.85391517275</v>
      </c>
      <c r="E116" s="10">
        <f t="shared" si="75"/>
        <v>-344907.54881517275</v>
      </c>
      <c r="F116" s="10">
        <f t="shared" si="75"/>
        <v>-346839.37066417275</v>
      </c>
      <c r="G116" s="10">
        <f t="shared" si="75"/>
        <v>-298014.8567966281</v>
      </c>
      <c r="H116" s="10">
        <f t="shared" si="75"/>
        <v>-299985.50826479302</v>
      </c>
      <c r="I116" s="10">
        <f t="shared" si="75"/>
        <v>-200424.5583775705</v>
      </c>
      <c r="J116" s="10">
        <f t="shared" si="75"/>
        <v>-202434.81994024554</v>
      </c>
      <c r="K116" s="10">
        <f t="shared" si="75"/>
        <v>-255240.83805358189</v>
      </c>
      <c r="L116" s="10">
        <f t="shared" si="75"/>
        <v>-358842.81374373572</v>
      </c>
      <c r="M116" s="10">
        <f t="shared" si="75"/>
        <v>-360913.98824202135</v>
      </c>
      <c r="N116" s="10">
        <f t="shared" si="75"/>
        <v>-363005.87448528985</v>
      </c>
      <c r="O116" s="10">
        <f t="shared" si="75"/>
        <v>-365118.679590991</v>
      </c>
      <c r="P116" s="10">
        <f>SUM(D116:O116)</f>
        <v>-3738723.7108893748</v>
      </c>
    </row>
    <row r="117" spans="1:16" s="3" customFormat="1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3" customFormat="1" ht="15.75" customHeight="1" x14ac:dyDescent="0.25">
      <c r="A118" s="1"/>
      <c r="B118" s="1" t="s">
        <v>90</v>
      </c>
      <c r="C118" s="3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3" customFormat="1" ht="15.75" customHeight="1" x14ac:dyDescent="0.25">
      <c r="A119" s="1"/>
      <c r="B119" s="1" t="s">
        <v>91</v>
      </c>
      <c r="C119" s="15">
        <v>3239804</v>
      </c>
      <c r="D119" s="2">
        <f t="shared" ref="D119:O119" si="76">C119+D123</f>
        <v>3064969</v>
      </c>
      <c r="E119" s="2">
        <f t="shared" si="76"/>
        <v>2888385.65</v>
      </c>
      <c r="F119" s="2">
        <f t="shared" si="76"/>
        <v>2710036.4665000001</v>
      </c>
      <c r="G119" s="2">
        <f t="shared" si="76"/>
        <v>2529903.7911650003</v>
      </c>
      <c r="H119" s="2">
        <f t="shared" si="76"/>
        <v>2347969.7890766505</v>
      </c>
      <c r="I119" s="2">
        <f t="shared" si="76"/>
        <v>2164216.4469674169</v>
      </c>
      <c r="J119" s="2">
        <f t="shared" si="76"/>
        <v>1978625.5714370911</v>
      </c>
      <c r="K119" s="2">
        <f t="shared" si="76"/>
        <v>1791178.7871514619</v>
      </c>
      <c r="L119" s="2">
        <f t="shared" si="76"/>
        <v>1601857.5350229766</v>
      </c>
      <c r="M119" s="2">
        <f t="shared" si="76"/>
        <v>1410643.0703732064</v>
      </c>
      <c r="N119" s="2">
        <f t="shared" si="76"/>
        <v>1217516.4610769385</v>
      </c>
      <c r="O119" s="2">
        <f t="shared" si="76"/>
        <v>1022458.5856877079</v>
      </c>
      <c r="P119" s="2"/>
    </row>
    <row r="120" spans="1:16" s="3" customFormat="1" ht="15.75" customHeight="1" x14ac:dyDescent="0.25">
      <c r="A120" s="1"/>
      <c r="B120" s="1" t="s">
        <v>92</v>
      </c>
      <c r="C120" s="16">
        <v>0.12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3" customFormat="1" ht="15.75" customHeight="1" x14ac:dyDescent="0.25">
      <c r="A121" s="1"/>
      <c r="B121" s="1" t="s">
        <v>93</v>
      </c>
      <c r="C121" s="1"/>
      <c r="D121" s="2">
        <f>D122+D123</f>
        <v>-207233.04</v>
      </c>
      <c r="E121" s="2">
        <f t="shared" ref="E121:O121" si="77">D121</f>
        <v>-207233.04</v>
      </c>
      <c r="F121" s="2">
        <f t="shared" si="77"/>
        <v>-207233.04</v>
      </c>
      <c r="G121" s="2">
        <f t="shared" si="77"/>
        <v>-207233.04</v>
      </c>
      <c r="H121" s="2">
        <f t="shared" si="77"/>
        <v>-207233.04</v>
      </c>
      <c r="I121" s="2">
        <f t="shared" si="77"/>
        <v>-207233.04</v>
      </c>
      <c r="J121" s="2">
        <f t="shared" si="77"/>
        <v>-207233.04</v>
      </c>
      <c r="K121" s="2">
        <f t="shared" si="77"/>
        <v>-207233.04</v>
      </c>
      <c r="L121" s="2">
        <f t="shared" si="77"/>
        <v>-207233.04</v>
      </c>
      <c r="M121" s="2">
        <f t="shared" si="77"/>
        <v>-207233.04</v>
      </c>
      <c r="N121" s="2">
        <f t="shared" si="77"/>
        <v>-207233.04</v>
      </c>
      <c r="O121" s="2">
        <f t="shared" si="77"/>
        <v>-207233.04</v>
      </c>
      <c r="P121" s="2"/>
    </row>
    <row r="122" spans="1:16" s="3" customFormat="1" ht="15.75" customHeight="1" x14ac:dyDescent="0.25">
      <c r="A122" s="1"/>
      <c r="B122" s="1" t="s">
        <v>94</v>
      </c>
      <c r="C122" s="1"/>
      <c r="D122" s="2">
        <f t="shared" ref="D122:O122" si="78">-C119*$C$120/12</f>
        <v>-32398.039999999997</v>
      </c>
      <c r="E122" s="2">
        <f t="shared" si="78"/>
        <v>-30649.69</v>
      </c>
      <c r="F122" s="2">
        <f t="shared" si="78"/>
        <v>-28883.856499999998</v>
      </c>
      <c r="G122" s="2">
        <f t="shared" si="78"/>
        <v>-27100.364665000001</v>
      </c>
      <c r="H122" s="2">
        <f t="shared" si="78"/>
        <v>-25299.037911650001</v>
      </c>
      <c r="I122" s="2">
        <f t="shared" si="78"/>
        <v>-23479.697890766503</v>
      </c>
      <c r="J122" s="2">
        <f t="shared" si="78"/>
        <v>-21642.164469674168</v>
      </c>
      <c r="K122" s="2">
        <f t="shared" si="78"/>
        <v>-19786.255714370909</v>
      </c>
      <c r="L122" s="2">
        <f t="shared" si="78"/>
        <v>-17911.787871514618</v>
      </c>
      <c r="M122" s="2">
        <f t="shared" si="78"/>
        <v>-16018.575350229765</v>
      </c>
      <c r="N122" s="2">
        <f t="shared" si="78"/>
        <v>-14106.430703732063</v>
      </c>
      <c r="O122" s="2">
        <f t="shared" si="78"/>
        <v>-12175.164610769383</v>
      </c>
      <c r="P122" s="2"/>
    </row>
    <row r="123" spans="1:16" s="3" customFormat="1" ht="15.75" customHeight="1" x14ac:dyDescent="0.25">
      <c r="A123" s="1"/>
      <c r="B123" s="1" t="s">
        <v>95</v>
      </c>
      <c r="C123" s="27">
        <v>174835</v>
      </c>
      <c r="D123" s="2">
        <f>-$C$123</f>
        <v>-174835</v>
      </c>
      <c r="E123" s="2">
        <f t="shared" ref="E123:O123" si="79">E121-E122</f>
        <v>-176583.35</v>
      </c>
      <c r="F123" s="2">
        <f t="shared" si="79"/>
        <v>-178349.18350000001</v>
      </c>
      <c r="G123" s="2">
        <f t="shared" si="79"/>
        <v>-180132.67533500001</v>
      </c>
      <c r="H123" s="2">
        <f t="shared" si="79"/>
        <v>-181934.00208835001</v>
      </c>
      <c r="I123" s="2">
        <f t="shared" si="79"/>
        <v>-183753.34210923349</v>
      </c>
      <c r="J123" s="2">
        <f t="shared" si="79"/>
        <v>-185590.87553032584</v>
      </c>
      <c r="K123" s="2">
        <f t="shared" si="79"/>
        <v>-187446.78428562911</v>
      </c>
      <c r="L123" s="2">
        <f t="shared" si="79"/>
        <v>-189321.25212848539</v>
      </c>
      <c r="M123" s="2">
        <f t="shared" si="79"/>
        <v>-191214.46464977023</v>
      </c>
      <c r="N123" s="2">
        <f t="shared" si="79"/>
        <v>-193126.60929626794</v>
      </c>
      <c r="O123" s="2">
        <f t="shared" si="79"/>
        <v>-195057.87538923061</v>
      </c>
      <c r="P123" s="2"/>
    </row>
    <row r="124" spans="1:16" s="3" customFormat="1" ht="15.75" customHeight="1" x14ac:dyDescent="0.25">
      <c r="A124" s="1"/>
      <c r="B124" s="1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3" customFormat="1" ht="15.75" customHeight="1" x14ac:dyDescent="0.25">
      <c r="A125" s="1"/>
      <c r="B125" s="1" t="s">
        <v>96</v>
      </c>
      <c r="C125" s="16">
        <v>0.1</v>
      </c>
      <c r="D125" s="2">
        <f t="shared" ref="D125:O125" si="80">-IF(D$112&lt;0,0,$C125*D$112)</f>
        <v>-168159.85391517272</v>
      </c>
      <c r="E125" s="2">
        <f t="shared" si="80"/>
        <v>-168324.19881517274</v>
      </c>
      <c r="F125" s="2">
        <f t="shared" si="80"/>
        <v>-168490.18716417273</v>
      </c>
      <c r="G125" s="2">
        <f t="shared" si="80"/>
        <v>-117882.18146162812</v>
      </c>
      <c r="H125" s="2">
        <f t="shared" si="80"/>
        <v>-118051.50617644301</v>
      </c>
      <c r="I125" s="2">
        <f t="shared" si="80"/>
        <v>-16671.216268337008</v>
      </c>
      <c r="J125" s="2">
        <f t="shared" si="80"/>
        <v>-16843.944409919684</v>
      </c>
      <c r="K125" s="2">
        <f t="shared" si="80"/>
        <v>-67794.053767952762</v>
      </c>
      <c r="L125" s="2">
        <f t="shared" si="80"/>
        <v>-169521.56161525034</v>
      </c>
      <c r="M125" s="2">
        <f t="shared" si="80"/>
        <v>-169699.52359225112</v>
      </c>
      <c r="N125" s="2">
        <f t="shared" si="80"/>
        <v>-169879.26518902191</v>
      </c>
      <c r="O125" s="2">
        <f t="shared" si="80"/>
        <v>-170060.80420176042</v>
      </c>
      <c r="P125" s="2"/>
    </row>
    <row r="126" spans="1:16" s="3" customFormat="1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3" customFormat="1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3" customFormat="1" ht="15.75" customHeight="1" x14ac:dyDescent="0.25">
      <c r="A128" s="11"/>
      <c r="B128" s="10" t="s">
        <v>97</v>
      </c>
      <c r="C128" s="11"/>
      <c r="D128" s="10">
        <f t="shared" ref="D128:O128" si="81">SUM(D129:D130)</f>
        <v>0</v>
      </c>
      <c r="E128" s="10">
        <f t="shared" si="81"/>
        <v>0</v>
      </c>
      <c r="F128" s="10">
        <f t="shared" si="81"/>
        <v>0</v>
      </c>
      <c r="G128" s="10">
        <f t="shared" si="81"/>
        <v>0</v>
      </c>
      <c r="H128" s="10">
        <f t="shared" si="81"/>
        <v>0</v>
      </c>
      <c r="I128" s="10">
        <f t="shared" si="81"/>
        <v>0</v>
      </c>
      <c r="J128" s="10">
        <f t="shared" si="81"/>
        <v>0</v>
      </c>
      <c r="K128" s="10">
        <f t="shared" si="81"/>
        <v>0</v>
      </c>
      <c r="L128" s="10">
        <f t="shared" si="81"/>
        <v>0</v>
      </c>
      <c r="M128" s="10">
        <f t="shared" si="81"/>
        <v>0</v>
      </c>
      <c r="N128" s="10">
        <f t="shared" si="81"/>
        <v>0</v>
      </c>
      <c r="O128" s="10">
        <f t="shared" si="81"/>
        <v>0</v>
      </c>
      <c r="P128" s="11"/>
    </row>
    <row r="129" spans="1:16" s="3" customFormat="1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3" customFormat="1" ht="15.75" customHeight="1" x14ac:dyDescent="0.25">
      <c r="A130" s="1"/>
      <c r="B130" s="1" t="s">
        <v>98</v>
      </c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3" customFormat="1" ht="15.75" customHeight="1" x14ac:dyDescent="0.25">
      <c r="A131" s="11"/>
      <c r="B131" s="10" t="s">
        <v>99</v>
      </c>
      <c r="C131" s="11"/>
      <c r="D131" s="10">
        <f t="shared" ref="D131:O131" si="82">D137+D143</f>
        <v>9252687.6770970188</v>
      </c>
      <c r="E131" s="10">
        <f t="shared" si="82"/>
        <v>9252687.6770970188</v>
      </c>
      <c r="F131" s="10">
        <f t="shared" si="82"/>
        <v>9252687.6770970188</v>
      </c>
      <c r="G131" s="10">
        <f t="shared" si="82"/>
        <v>7402150.1416776143</v>
      </c>
      <c r="H131" s="10">
        <f t="shared" si="82"/>
        <v>7402150.1416776143</v>
      </c>
      <c r="I131" s="10">
        <f t="shared" si="82"/>
        <v>3701075.0708388072</v>
      </c>
      <c r="J131" s="10">
        <f t="shared" si="82"/>
        <v>3701075.0708388072</v>
      </c>
      <c r="K131" s="10">
        <f t="shared" si="82"/>
        <v>5551612.6062582098</v>
      </c>
      <c r="L131" s="10">
        <f t="shared" si="82"/>
        <v>9252687.6770970188</v>
      </c>
      <c r="M131" s="10">
        <f t="shared" si="82"/>
        <v>9252687.6770970188</v>
      </c>
      <c r="N131" s="10">
        <f t="shared" si="82"/>
        <v>9252687.6770970188</v>
      </c>
      <c r="O131" s="10">
        <f t="shared" si="82"/>
        <v>9252687.6770970188</v>
      </c>
      <c r="P131" s="11"/>
    </row>
    <row r="132" spans="1:16" s="3" customFormat="1" ht="15.75" customHeight="1" x14ac:dyDescent="0.25">
      <c r="A132" s="2"/>
      <c r="B132" s="32" t="s">
        <v>100</v>
      </c>
      <c r="C132" s="29"/>
      <c r="D132" s="2">
        <f t="shared" ref="D132:O132" si="83">D138+D144+D150-D156</f>
        <v>933511.52021480259</v>
      </c>
      <c r="E132" s="2">
        <f t="shared" si="83"/>
        <v>-511813.46406851197</v>
      </c>
      <c r="F132" s="2">
        <f t="shared" si="83"/>
        <v>-426511.22005709354</v>
      </c>
      <c r="G132" s="2">
        <f t="shared" si="83"/>
        <v>-1468952.1638749908</v>
      </c>
      <c r="H132" s="2">
        <f t="shared" si="83"/>
        <v>-296188.34726187051</v>
      </c>
      <c r="I132" s="2">
        <f t="shared" si="83"/>
        <v>-2473875.9170397175</v>
      </c>
      <c r="J132" s="2">
        <f t="shared" si="83"/>
        <v>-205686.35226518789</v>
      </c>
      <c r="K132" s="2">
        <f t="shared" si="83"/>
        <v>942120.85360642266</v>
      </c>
      <c r="L132" s="2">
        <f t="shared" si="83"/>
        <v>2084214.5496928892</v>
      </c>
      <c r="M132" s="2">
        <f t="shared" si="83"/>
        <v>-119031.4538571689</v>
      </c>
      <c r="N132" s="2">
        <f t="shared" si="83"/>
        <v>-99192.87821430742</v>
      </c>
      <c r="O132" s="2">
        <f t="shared" si="83"/>
        <v>-82660.731845256174</v>
      </c>
      <c r="P132" s="2"/>
    </row>
    <row r="133" spans="1:16" s="3" customFormat="1" ht="15.75" customHeight="1" x14ac:dyDescent="0.25">
      <c r="A133" s="1"/>
      <c r="B133" s="31"/>
      <c r="C133" s="29"/>
      <c r="D133" s="32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"/>
    </row>
    <row r="134" spans="1:16" s="3" customFormat="1" ht="15.75" customHeight="1" x14ac:dyDescent="0.25">
      <c r="A134" s="2"/>
      <c r="B134" s="35" t="s">
        <v>101</v>
      </c>
      <c r="C134" s="29"/>
      <c r="D134" s="32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"/>
    </row>
    <row r="135" spans="1:16" s="3" customFormat="1" ht="15.75" customHeight="1" x14ac:dyDescent="0.25">
      <c r="A135" s="1"/>
      <c r="B135" s="1" t="s">
        <v>102</v>
      </c>
      <c r="C135" s="19">
        <v>45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s="3" customFormat="1" ht="15.75" customHeight="1" x14ac:dyDescent="0.25">
      <c r="A136" s="2"/>
      <c r="B136" s="2" t="s">
        <v>103</v>
      </c>
      <c r="C136" s="2"/>
      <c r="D136" s="2">
        <f t="shared" ref="D136:O136" si="84">C137</f>
        <v>4500000</v>
      </c>
      <c r="E136" s="2">
        <f t="shared" si="84"/>
        <v>5527585.411939932</v>
      </c>
      <c r="F136" s="2">
        <f t="shared" si="84"/>
        <v>5527585.411939932</v>
      </c>
      <c r="G136" s="2">
        <f t="shared" si="84"/>
        <v>5527585.411939932</v>
      </c>
      <c r="H136" s="2">
        <f t="shared" si="84"/>
        <v>4422068.3295519454</v>
      </c>
      <c r="I136" s="2">
        <f t="shared" si="84"/>
        <v>4422068.3295519454</v>
      </c>
      <c r="J136" s="2">
        <f t="shared" si="84"/>
        <v>2211034.1647759727</v>
      </c>
      <c r="K136" s="2">
        <f t="shared" si="84"/>
        <v>2211034.1647759727</v>
      </c>
      <c r="L136" s="2">
        <f t="shared" si="84"/>
        <v>3316551.2471639588</v>
      </c>
      <c r="M136" s="2">
        <f t="shared" si="84"/>
        <v>5527585.411939932</v>
      </c>
      <c r="N136" s="2">
        <f t="shared" si="84"/>
        <v>5527585.411939932</v>
      </c>
      <c r="O136" s="2">
        <f t="shared" si="84"/>
        <v>5527585.411939932</v>
      </c>
      <c r="P136" s="2"/>
    </row>
    <row r="137" spans="1:16" s="3" customFormat="1" ht="15.75" customHeight="1" x14ac:dyDescent="0.25">
      <c r="A137" s="1"/>
      <c r="B137" s="1" t="s">
        <v>104</v>
      </c>
      <c r="C137" s="15">
        <v>4500000</v>
      </c>
      <c r="D137" s="2">
        <f t="shared" ref="D137:O137" si="85">-(D47+D52)/30*$C$135</f>
        <v>5527585.411939932</v>
      </c>
      <c r="E137" s="2">
        <f t="shared" si="85"/>
        <v>5527585.411939932</v>
      </c>
      <c r="F137" s="2">
        <f t="shared" si="85"/>
        <v>5527585.411939932</v>
      </c>
      <c r="G137" s="2">
        <f t="shared" si="85"/>
        <v>4422068.3295519454</v>
      </c>
      <c r="H137" s="2">
        <f t="shared" si="85"/>
        <v>4422068.3295519454</v>
      </c>
      <c r="I137" s="2">
        <f t="shared" si="85"/>
        <v>2211034.1647759727</v>
      </c>
      <c r="J137" s="2">
        <f t="shared" si="85"/>
        <v>2211034.1647759727</v>
      </c>
      <c r="K137" s="2">
        <f t="shared" si="85"/>
        <v>3316551.2471639588</v>
      </c>
      <c r="L137" s="2">
        <f t="shared" si="85"/>
        <v>5527585.411939932</v>
      </c>
      <c r="M137" s="2">
        <f t="shared" si="85"/>
        <v>5527585.411939932</v>
      </c>
      <c r="N137" s="2">
        <f t="shared" si="85"/>
        <v>5527585.411939932</v>
      </c>
      <c r="O137" s="2">
        <f t="shared" si="85"/>
        <v>5527585.411939932</v>
      </c>
      <c r="P137" s="2"/>
    </row>
    <row r="138" spans="1:16" s="3" customFormat="1" ht="15.75" customHeight="1" x14ac:dyDescent="0.25">
      <c r="A138" s="2"/>
      <c r="B138" s="32" t="s">
        <v>105</v>
      </c>
      <c r="C138" s="29"/>
      <c r="D138" s="2">
        <f t="shared" ref="D138:O138" si="86">D137-D136</f>
        <v>1027585.411939932</v>
      </c>
      <c r="E138" s="2">
        <f t="shared" si="86"/>
        <v>0</v>
      </c>
      <c r="F138" s="2">
        <f t="shared" si="86"/>
        <v>0</v>
      </c>
      <c r="G138" s="2">
        <f t="shared" si="86"/>
        <v>-1105517.0823879866</v>
      </c>
      <c r="H138" s="2">
        <f t="shared" si="86"/>
        <v>0</v>
      </c>
      <c r="I138" s="2">
        <f t="shared" si="86"/>
        <v>-2211034.1647759727</v>
      </c>
      <c r="J138" s="2">
        <f t="shared" si="86"/>
        <v>0</v>
      </c>
      <c r="K138" s="2">
        <f t="shared" si="86"/>
        <v>1105517.0823879861</v>
      </c>
      <c r="L138" s="2">
        <f t="shared" si="86"/>
        <v>2211034.1647759732</v>
      </c>
      <c r="M138" s="2">
        <f t="shared" si="86"/>
        <v>0</v>
      </c>
      <c r="N138" s="2">
        <f t="shared" si="86"/>
        <v>0</v>
      </c>
      <c r="O138" s="2">
        <f t="shared" si="86"/>
        <v>0</v>
      </c>
      <c r="P138" s="2"/>
    </row>
    <row r="139" spans="1:16" s="3" customFormat="1" ht="15.75" customHeight="1" x14ac:dyDescent="0.25">
      <c r="A139" s="1"/>
      <c r="B139" s="31"/>
      <c r="C139" s="29"/>
      <c r="D139" s="32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"/>
    </row>
    <row r="140" spans="1:16" s="3" customFormat="1" ht="15.75" customHeight="1" x14ac:dyDescent="0.25">
      <c r="A140" s="2"/>
      <c r="B140" s="35" t="s">
        <v>106</v>
      </c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3" customFormat="1" ht="15.75" customHeight="1" x14ac:dyDescent="0.25">
      <c r="A141" s="1"/>
      <c r="B141" s="1" t="s">
        <v>107</v>
      </c>
      <c r="C141" s="20">
        <v>14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3" customFormat="1" ht="15.75" customHeight="1" x14ac:dyDescent="0.25">
      <c r="A142" s="2"/>
      <c r="B142" s="2" t="s">
        <v>108</v>
      </c>
      <c r="C142" s="2"/>
      <c r="D142" s="2">
        <f t="shared" ref="D142:O142" si="87">C143</f>
        <v>2205000</v>
      </c>
      <c r="E142" s="2">
        <f t="shared" si="87"/>
        <v>3725102.2651570858</v>
      </c>
      <c r="F142" s="2">
        <f t="shared" si="87"/>
        <v>3725102.2651570858</v>
      </c>
      <c r="G142" s="2">
        <f t="shared" si="87"/>
        <v>3725102.2651570858</v>
      </c>
      <c r="H142" s="2">
        <f t="shared" si="87"/>
        <v>2980081.8121256684</v>
      </c>
      <c r="I142" s="2">
        <f t="shared" si="87"/>
        <v>2980081.8121256684</v>
      </c>
      <c r="J142" s="2">
        <f t="shared" si="87"/>
        <v>1490040.9060628342</v>
      </c>
      <c r="K142" s="2">
        <f t="shared" si="87"/>
        <v>1490040.9060628342</v>
      </c>
      <c r="L142" s="2">
        <f t="shared" si="87"/>
        <v>2235061.3590942514</v>
      </c>
      <c r="M142" s="2">
        <f t="shared" si="87"/>
        <v>3725102.2651570858</v>
      </c>
      <c r="N142" s="2">
        <f t="shared" si="87"/>
        <v>3725102.2651570858</v>
      </c>
      <c r="O142" s="2">
        <f t="shared" si="87"/>
        <v>3725102.2651570858</v>
      </c>
      <c r="P142" s="2"/>
    </row>
    <row r="143" spans="1:16" s="3" customFormat="1" ht="15.75" customHeight="1" x14ac:dyDescent="0.25">
      <c r="A143" s="1"/>
      <c r="B143" s="1" t="s">
        <v>109</v>
      </c>
      <c r="C143" s="15">
        <f>1205000+1000000</f>
        <v>2205000</v>
      </c>
      <c r="D143" s="2">
        <f t="shared" ref="D143:O143" si="88">D16*$C$141/30</f>
        <v>3725102.2651570858</v>
      </c>
      <c r="E143" s="2">
        <f t="shared" si="88"/>
        <v>3725102.2651570858</v>
      </c>
      <c r="F143" s="2">
        <f t="shared" si="88"/>
        <v>3725102.2651570858</v>
      </c>
      <c r="G143" s="2">
        <f t="shared" si="88"/>
        <v>2980081.8121256684</v>
      </c>
      <c r="H143" s="2">
        <f t="shared" si="88"/>
        <v>2980081.8121256684</v>
      </c>
      <c r="I143" s="2">
        <f t="shared" si="88"/>
        <v>1490040.9060628342</v>
      </c>
      <c r="J143" s="2">
        <f t="shared" si="88"/>
        <v>1490040.9060628342</v>
      </c>
      <c r="K143" s="2">
        <f t="shared" si="88"/>
        <v>2235061.3590942514</v>
      </c>
      <c r="L143" s="2">
        <f t="shared" si="88"/>
        <v>3725102.2651570858</v>
      </c>
      <c r="M143" s="2">
        <f t="shared" si="88"/>
        <v>3725102.2651570858</v>
      </c>
      <c r="N143" s="2">
        <f t="shared" si="88"/>
        <v>3725102.2651570858</v>
      </c>
      <c r="O143" s="2">
        <f t="shared" si="88"/>
        <v>3725102.2651570858</v>
      </c>
      <c r="P143" s="2"/>
    </row>
    <row r="144" spans="1:16" s="3" customFormat="1" ht="15.75" customHeight="1" x14ac:dyDescent="0.25">
      <c r="A144" s="2"/>
      <c r="B144" s="32" t="s">
        <v>110</v>
      </c>
      <c r="C144" s="29"/>
      <c r="D144" s="2">
        <f t="shared" ref="D144:O144" si="89">D143-D142</f>
        <v>1520102.2651570858</v>
      </c>
      <c r="E144" s="2">
        <f t="shared" si="89"/>
        <v>0</v>
      </c>
      <c r="F144" s="2">
        <f t="shared" si="89"/>
        <v>0</v>
      </c>
      <c r="G144" s="2">
        <f t="shared" si="89"/>
        <v>-745020.45303141745</v>
      </c>
      <c r="H144" s="2">
        <f t="shared" si="89"/>
        <v>0</v>
      </c>
      <c r="I144" s="2">
        <f t="shared" si="89"/>
        <v>-1490040.9060628342</v>
      </c>
      <c r="J144" s="2">
        <f t="shared" si="89"/>
        <v>0</v>
      </c>
      <c r="K144" s="2">
        <f t="shared" si="89"/>
        <v>745020.45303141722</v>
      </c>
      <c r="L144" s="2">
        <f t="shared" si="89"/>
        <v>1490040.9060628344</v>
      </c>
      <c r="M144" s="2">
        <f t="shared" si="89"/>
        <v>0</v>
      </c>
      <c r="N144" s="2">
        <f t="shared" si="89"/>
        <v>0</v>
      </c>
      <c r="O144" s="2">
        <f t="shared" si="89"/>
        <v>0</v>
      </c>
      <c r="P144" s="2"/>
    </row>
    <row r="145" spans="1:16" s="3" customFormat="1" ht="15.75" customHeight="1" x14ac:dyDescent="0.25">
      <c r="A145" s="1"/>
      <c r="B145" s="31"/>
      <c r="C145" s="29"/>
      <c r="D145" s="32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"/>
    </row>
    <row r="146" spans="1:16" s="3" customFormat="1" ht="15.75" customHeight="1" x14ac:dyDescent="0.25">
      <c r="A146" s="1"/>
      <c r="B146" s="35" t="s">
        <v>111</v>
      </c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3" customFormat="1" ht="15.75" customHeight="1" x14ac:dyDescent="0.25">
      <c r="A147" s="1"/>
      <c r="B147" s="1" t="s">
        <v>107</v>
      </c>
      <c r="C147" s="20">
        <v>30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3" customFormat="1" ht="15.75" customHeight="1" x14ac:dyDescent="0.25">
      <c r="A148" s="1"/>
      <c r="B148" s="2" t="s">
        <v>108</v>
      </c>
      <c r="C148" s="1"/>
      <c r="D148" s="2">
        <f t="shared" ref="D148:O148" si="90">C149</f>
        <v>3500000</v>
      </c>
      <c r="E148" s="2">
        <f t="shared" si="90"/>
        <v>-3685056.9412932885</v>
      </c>
      <c r="F148" s="2">
        <f t="shared" si="90"/>
        <v>-3685056.9412932885</v>
      </c>
      <c r="G148" s="2">
        <f t="shared" si="90"/>
        <v>-3685056.9412932885</v>
      </c>
      <c r="H148" s="2">
        <f t="shared" si="90"/>
        <v>-2948045.5530346306</v>
      </c>
      <c r="I148" s="2">
        <f t="shared" si="90"/>
        <v>-2948045.5530346306</v>
      </c>
      <c r="J148" s="2">
        <f t="shared" si="90"/>
        <v>-1474022.7765173153</v>
      </c>
      <c r="K148" s="2">
        <f t="shared" si="90"/>
        <v>-1474022.7765173153</v>
      </c>
      <c r="L148" s="2">
        <f t="shared" si="90"/>
        <v>-2211034.1647759727</v>
      </c>
      <c r="M148" s="2">
        <f t="shared" si="90"/>
        <v>-3685056.9412932885</v>
      </c>
      <c r="N148" s="2">
        <f t="shared" si="90"/>
        <v>-3685056.9412932885</v>
      </c>
      <c r="O148" s="2">
        <f t="shared" si="90"/>
        <v>-3685056.9412932885</v>
      </c>
      <c r="P148" s="2"/>
    </row>
    <row r="149" spans="1:16" s="3" customFormat="1" ht="15.75" customHeight="1" x14ac:dyDescent="0.25">
      <c r="A149" s="1"/>
      <c r="B149" s="1" t="s">
        <v>109</v>
      </c>
      <c r="C149" s="15">
        <v>3500000</v>
      </c>
      <c r="D149" s="2">
        <f t="shared" ref="D149:O149" si="91">(D47+D52)*$C$147/30</f>
        <v>-3685056.9412932885</v>
      </c>
      <c r="E149" s="2">
        <f t="shared" si="91"/>
        <v>-3685056.9412932885</v>
      </c>
      <c r="F149" s="2">
        <f t="shared" si="91"/>
        <v>-3685056.9412932885</v>
      </c>
      <c r="G149" s="2">
        <f t="shared" si="91"/>
        <v>-2948045.5530346306</v>
      </c>
      <c r="H149" s="2">
        <f t="shared" si="91"/>
        <v>-2948045.5530346306</v>
      </c>
      <c r="I149" s="2">
        <f t="shared" si="91"/>
        <v>-1474022.7765173153</v>
      </c>
      <c r="J149" s="2">
        <f t="shared" si="91"/>
        <v>-1474022.7765173153</v>
      </c>
      <c r="K149" s="2">
        <f t="shared" si="91"/>
        <v>-2211034.1647759727</v>
      </c>
      <c r="L149" s="2">
        <f t="shared" si="91"/>
        <v>-3685056.9412932885</v>
      </c>
      <c r="M149" s="2">
        <f t="shared" si="91"/>
        <v>-3685056.9412932885</v>
      </c>
      <c r="N149" s="2">
        <f t="shared" si="91"/>
        <v>-3685056.9412932885</v>
      </c>
      <c r="O149" s="2">
        <f t="shared" si="91"/>
        <v>-3685056.9412932885</v>
      </c>
      <c r="P149" s="2"/>
    </row>
    <row r="150" spans="1:16" s="3" customFormat="1" ht="15.75" customHeight="1" x14ac:dyDescent="0.25">
      <c r="A150" s="1"/>
      <c r="B150" s="1" t="s">
        <v>110</v>
      </c>
      <c r="C150" s="1"/>
      <c r="D150" s="2">
        <f t="shared" ref="D150:O150" si="92">D149-D148</f>
        <v>-7185056.941293288</v>
      </c>
      <c r="E150" s="2">
        <f t="shared" si="92"/>
        <v>0</v>
      </c>
      <c r="F150" s="2">
        <f t="shared" si="92"/>
        <v>0</v>
      </c>
      <c r="G150" s="2">
        <f t="shared" si="92"/>
        <v>737011.38825865788</v>
      </c>
      <c r="H150" s="2">
        <f t="shared" si="92"/>
        <v>0</v>
      </c>
      <c r="I150" s="2">
        <f t="shared" si="92"/>
        <v>1474022.7765173153</v>
      </c>
      <c r="J150" s="2">
        <f t="shared" si="92"/>
        <v>0</v>
      </c>
      <c r="K150" s="2">
        <f t="shared" si="92"/>
        <v>-737011.38825865742</v>
      </c>
      <c r="L150" s="2">
        <f t="shared" si="92"/>
        <v>-1474022.7765173158</v>
      </c>
      <c r="M150" s="2">
        <f t="shared" si="92"/>
        <v>0</v>
      </c>
      <c r="N150" s="2">
        <f t="shared" si="92"/>
        <v>0</v>
      </c>
      <c r="O150" s="2">
        <f t="shared" si="92"/>
        <v>0</v>
      </c>
      <c r="P150" s="2"/>
    </row>
    <row r="151" spans="1:16" s="3" customFormat="1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3" customFormat="1" ht="15.75" customHeight="1" x14ac:dyDescent="0.25">
      <c r="A152" s="1"/>
      <c r="B152" s="35" t="s">
        <v>112</v>
      </c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3" customFormat="1" ht="15.75" customHeight="1" x14ac:dyDescent="0.25">
      <c r="A153" s="1"/>
      <c r="B153" s="1" t="s">
        <v>113</v>
      </c>
      <c r="C153" s="20">
        <v>25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3" customFormat="1" ht="15.75" customHeight="1" x14ac:dyDescent="0.25">
      <c r="A154" s="1"/>
      <c r="B154" s="2" t="s">
        <v>114</v>
      </c>
      <c r="C154" s="1"/>
      <c r="D154" s="2">
        <f t="shared" ref="D154:O154" si="93">C155</f>
        <v>2500000</v>
      </c>
      <c r="E154" s="2">
        <f t="shared" si="93"/>
        <v>-3070880.7844110732</v>
      </c>
      <c r="F154" s="2">
        <f t="shared" si="93"/>
        <v>-2559067.3203425612</v>
      </c>
      <c r="G154" s="2">
        <f t="shared" si="93"/>
        <v>-2132556.1002854677</v>
      </c>
      <c r="H154" s="2">
        <f t="shared" si="93"/>
        <v>-1777130.0835712231</v>
      </c>
      <c r="I154" s="2">
        <f t="shared" si="93"/>
        <v>-1480941.7363093526</v>
      </c>
      <c r="J154" s="2">
        <f t="shared" si="93"/>
        <v>-1234118.1135911271</v>
      </c>
      <c r="K154" s="2">
        <f t="shared" si="93"/>
        <v>-1028431.7613259392</v>
      </c>
      <c r="L154" s="2">
        <f t="shared" si="93"/>
        <v>-857026.46777161595</v>
      </c>
      <c r="M154" s="2">
        <f t="shared" si="93"/>
        <v>-714188.72314301331</v>
      </c>
      <c r="N154" s="2">
        <f t="shared" si="93"/>
        <v>-595157.26928584441</v>
      </c>
      <c r="O154" s="2">
        <f t="shared" si="93"/>
        <v>-495964.39107153699</v>
      </c>
      <c r="P154" s="2"/>
    </row>
    <row r="155" spans="1:16" s="3" customFormat="1" ht="15.75" customHeight="1" x14ac:dyDescent="0.25">
      <c r="A155" s="1"/>
      <c r="B155" s="1" t="s">
        <v>115</v>
      </c>
      <c r="C155" s="15">
        <v>2500000</v>
      </c>
      <c r="D155" s="2">
        <f>(D47+D52)*$C$153/30</f>
        <v>-3070880.7844110732</v>
      </c>
      <c r="E155" s="2">
        <f t="shared" ref="E155:O155" si="94">E154*$C$153/30</f>
        <v>-2559067.3203425612</v>
      </c>
      <c r="F155" s="2">
        <f t="shared" si="94"/>
        <v>-2132556.1002854677</v>
      </c>
      <c r="G155" s="2">
        <f t="shared" si="94"/>
        <v>-1777130.0835712231</v>
      </c>
      <c r="H155" s="2">
        <f t="shared" si="94"/>
        <v>-1480941.7363093526</v>
      </c>
      <c r="I155" s="2">
        <f t="shared" si="94"/>
        <v>-1234118.1135911271</v>
      </c>
      <c r="J155" s="2">
        <f t="shared" si="94"/>
        <v>-1028431.7613259392</v>
      </c>
      <c r="K155" s="2">
        <f t="shared" si="94"/>
        <v>-857026.46777161595</v>
      </c>
      <c r="L155" s="2">
        <f t="shared" si="94"/>
        <v>-714188.72314301331</v>
      </c>
      <c r="M155" s="2">
        <f t="shared" si="94"/>
        <v>-595157.26928584441</v>
      </c>
      <c r="N155" s="2">
        <f t="shared" si="94"/>
        <v>-495964.39107153699</v>
      </c>
      <c r="O155" s="2">
        <f t="shared" si="94"/>
        <v>-413303.65922628081</v>
      </c>
      <c r="P155" s="2"/>
    </row>
    <row r="156" spans="1:16" s="3" customFormat="1" ht="15.75" customHeight="1" x14ac:dyDescent="0.25">
      <c r="A156" s="1"/>
      <c r="B156" s="1" t="s">
        <v>116</v>
      </c>
      <c r="C156" s="1"/>
      <c r="D156" s="2">
        <f t="shared" ref="D156:O156" si="95">D155-D154</f>
        <v>-5570880.7844110727</v>
      </c>
      <c r="E156" s="2">
        <f t="shared" si="95"/>
        <v>511813.46406851197</v>
      </c>
      <c r="F156" s="2">
        <f t="shared" si="95"/>
        <v>426511.22005709354</v>
      </c>
      <c r="G156" s="2">
        <f t="shared" si="95"/>
        <v>355426.01671424462</v>
      </c>
      <c r="H156" s="2">
        <f t="shared" si="95"/>
        <v>296188.34726187051</v>
      </c>
      <c r="I156" s="2">
        <f t="shared" si="95"/>
        <v>246823.62271822547</v>
      </c>
      <c r="J156" s="2">
        <f t="shared" si="95"/>
        <v>205686.35226518789</v>
      </c>
      <c r="K156" s="2">
        <f t="shared" si="95"/>
        <v>171405.29355432326</v>
      </c>
      <c r="L156" s="2">
        <f t="shared" si="95"/>
        <v>142837.74462860264</v>
      </c>
      <c r="M156" s="2">
        <f t="shared" si="95"/>
        <v>119031.4538571689</v>
      </c>
      <c r="N156" s="2">
        <f t="shared" si="95"/>
        <v>99192.87821430742</v>
      </c>
      <c r="O156" s="2">
        <f t="shared" si="95"/>
        <v>82660.731845256174</v>
      </c>
      <c r="P156" s="2"/>
    </row>
    <row r="157" spans="1:16" s="3" customFormat="1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3" customFormat="1" ht="15.75" customHeight="1" x14ac:dyDescent="0.25">
      <c r="A158" s="11"/>
      <c r="B158" s="10" t="s">
        <v>117</v>
      </c>
      <c r="C158" s="11"/>
      <c r="D158" s="10">
        <f t="shared" ref="D158:O158" si="96">D165</f>
        <v>3205092.1650217515</v>
      </c>
      <c r="E158" s="10">
        <f t="shared" si="96"/>
        <v>5055240.0684268177</v>
      </c>
      <c r="F158" s="10">
        <f t="shared" si="96"/>
        <v>6819813.7894614656</v>
      </c>
      <c r="G158" s="10">
        <f t="shared" si="96"/>
        <v>9169572.9111561105</v>
      </c>
      <c r="H158" s="10">
        <f t="shared" si="96"/>
        <v>10346290.811917618</v>
      </c>
      <c r="I158" s="10">
        <f t="shared" si="96"/>
        <v>12786454.333263135</v>
      </c>
      <c r="J158" s="10">
        <f t="shared" si="96"/>
        <v>12958145.309687274</v>
      </c>
      <c r="K158" s="10">
        <f t="shared" si="96"/>
        <v>12438724.155706797</v>
      </c>
      <c r="L158" s="10">
        <f t="shared" si="96"/>
        <v>11690882.408422675</v>
      </c>
      <c r="M158" s="10">
        <f t="shared" si="96"/>
        <v>13145995.109960333</v>
      </c>
      <c r="N158" s="10">
        <f t="shared" si="96"/>
        <v>14580974.765579568</v>
      </c>
      <c r="O158" s="10">
        <f t="shared" si="96"/>
        <v>15999124.859851437</v>
      </c>
      <c r="P158" s="11"/>
    </row>
    <row r="159" spans="1:16" s="3" customFormat="1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3" customFormat="1" ht="15.75" customHeight="1" x14ac:dyDescent="0.25">
      <c r="A160" s="2"/>
      <c r="B160" s="35" t="s">
        <v>118</v>
      </c>
      <c r="C160" s="29"/>
      <c r="D160" s="4">
        <f t="shared" ref="D160:O160" si="97">C165</f>
        <v>2800000</v>
      </c>
      <c r="E160" s="4">
        <f t="shared" si="97"/>
        <v>3205092.1650217515</v>
      </c>
      <c r="F160" s="4">
        <f t="shared" si="97"/>
        <v>5055240.0684268177</v>
      </c>
      <c r="G160" s="4">
        <f t="shared" si="97"/>
        <v>6819813.7894614656</v>
      </c>
      <c r="H160" s="4">
        <f t="shared" si="97"/>
        <v>9169572.9111561105</v>
      </c>
      <c r="I160" s="4">
        <f t="shared" si="97"/>
        <v>10346290.811917618</v>
      </c>
      <c r="J160" s="4">
        <f t="shared" si="97"/>
        <v>12786454.333263135</v>
      </c>
      <c r="K160" s="4">
        <f t="shared" si="97"/>
        <v>12958145.309687274</v>
      </c>
      <c r="L160" s="4">
        <f t="shared" si="97"/>
        <v>12438724.155706797</v>
      </c>
      <c r="M160" s="4">
        <f t="shared" si="97"/>
        <v>11690882.408422675</v>
      </c>
      <c r="N160" s="4">
        <f t="shared" si="97"/>
        <v>13145995.109960333</v>
      </c>
      <c r="O160" s="4">
        <f t="shared" si="97"/>
        <v>14580974.765579568</v>
      </c>
      <c r="P160" s="2"/>
    </row>
    <row r="161" spans="1:16" s="3" customFormat="1" ht="15.75" customHeight="1" x14ac:dyDescent="0.25">
      <c r="A161" s="2"/>
      <c r="B161" s="32" t="s">
        <v>119</v>
      </c>
      <c r="C161" s="29"/>
      <c r="D161" s="2">
        <f t="shared" ref="D161:O161" si="98">D101+D110+D104-D132</f>
        <v>748087.0189369244</v>
      </c>
      <c r="E161" s="2">
        <f t="shared" si="98"/>
        <v>2195055.4522202392</v>
      </c>
      <c r="F161" s="2">
        <f t="shared" si="98"/>
        <v>2111413.0916988207</v>
      </c>
      <c r="G161" s="2">
        <f t="shared" si="98"/>
        <v>2647773.9784912718</v>
      </c>
      <c r="H161" s="2">
        <f t="shared" si="98"/>
        <v>1476703.4090263005</v>
      </c>
      <c r="I161" s="2">
        <f t="shared" si="98"/>
        <v>2640588.0797230876</v>
      </c>
      <c r="J161" s="2">
        <f t="shared" si="98"/>
        <v>374125.7963643847</v>
      </c>
      <c r="K161" s="2">
        <f t="shared" si="98"/>
        <v>-264180.31592689501</v>
      </c>
      <c r="L161" s="2">
        <f t="shared" si="98"/>
        <v>-388998.93354038591</v>
      </c>
      <c r="M161" s="2">
        <f t="shared" si="98"/>
        <v>1816026.6897796798</v>
      </c>
      <c r="N161" s="2">
        <f t="shared" si="98"/>
        <v>1797985.5301045263</v>
      </c>
      <c r="O161" s="2">
        <f t="shared" si="98"/>
        <v>1783268.7738628602</v>
      </c>
      <c r="P161" s="2"/>
    </row>
    <row r="162" spans="1:16" s="3" customFormat="1" ht="15.75" customHeight="1" x14ac:dyDescent="0.25">
      <c r="A162" s="2"/>
      <c r="B162" s="32" t="s">
        <v>120</v>
      </c>
      <c r="C162" s="29"/>
      <c r="D162" s="2">
        <f t="shared" ref="D162:O162" si="99">D123+D125</f>
        <v>-342994.85391517275</v>
      </c>
      <c r="E162" s="2">
        <f t="shared" si="99"/>
        <v>-344907.54881517275</v>
      </c>
      <c r="F162" s="2">
        <f t="shared" si="99"/>
        <v>-346839.37066417275</v>
      </c>
      <c r="G162" s="2">
        <f t="shared" si="99"/>
        <v>-298014.8567966281</v>
      </c>
      <c r="H162" s="2">
        <f t="shared" si="99"/>
        <v>-299985.50826479302</v>
      </c>
      <c r="I162" s="2">
        <f t="shared" si="99"/>
        <v>-200424.5583775705</v>
      </c>
      <c r="J162" s="2">
        <f t="shared" si="99"/>
        <v>-202434.81994024554</v>
      </c>
      <c r="K162" s="2">
        <f t="shared" si="99"/>
        <v>-255240.83805358189</v>
      </c>
      <c r="L162" s="2">
        <f t="shared" si="99"/>
        <v>-358842.81374373572</v>
      </c>
      <c r="M162" s="2">
        <f t="shared" si="99"/>
        <v>-360913.98824202135</v>
      </c>
      <c r="N162" s="2">
        <f t="shared" si="99"/>
        <v>-363005.87448528985</v>
      </c>
      <c r="O162" s="2">
        <f t="shared" si="99"/>
        <v>-365118.679590991</v>
      </c>
      <c r="P162" s="2"/>
    </row>
    <row r="163" spans="1:16" s="3" customFormat="1" ht="15.75" customHeight="1" x14ac:dyDescent="0.25">
      <c r="A163" s="2"/>
      <c r="B163" s="32" t="s">
        <v>121</v>
      </c>
      <c r="C163" s="29"/>
      <c r="D163" s="2">
        <f t="shared" ref="D163:O163" si="100">D128</f>
        <v>0</v>
      </c>
      <c r="E163" s="2">
        <f t="shared" si="100"/>
        <v>0</v>
      </c>
      <c r="F163" s="2">
        <f t="shared" si="100"/>
        <v>0</v>
      </c>
      <c r="G163" s="2">
        <f t="shared" si="100"/>
        <v>0</v>
      </c>
      <c r="H163" s="2">
        <f t="shared" si="100"/>
        <v>0</v>
      </c>
      <c r="I163" s="2">
        <f t="shared" si="100"/>
        <v>0</v>
      </c>
      <c r="J163" s="2">
        <f t="shared" si="100"/>
        <v>0</v>
      </c>
      <c r="K163" s="2">
        <f t="shared" si="100"/>
        <v>0</v>
      </c>
      <c r="L163" s="2">
        <f t="shared" si="100"/>
        <v>0</v>
      </c>
      <c r="M163" s="2">
        <f t="shared" si="100"/>
        <v>0</v>
      </c>
      <c r="N163" s="2">
        <f t="shared" si="100"/>
        <v>0</v>
      </c>
      <c r="O163" s="2">
        <f t="shared" si="100"/>
        <v>0</v>
      </c>
      <c r="P163" s="2"/>
    </row>
    <row r="164" spans="1:16" s="3" customFormat="1" ht="15.75" customHeight="1" x14ac:dyDescent="0.25">
      <c r="A164" s="2"/>
      <c r="B164" s="33" t="s">
        <v>122</v>
      </c>
      <c r="C164" s="29"/>
      <c r="D164" s="34">
        <f t="shared" ref="D164:O164" si="101">SUM(D161:D163)</f>
        <v>405092.16502175166</v>
      </c>
      <c r="E164" s="34">
        <f t="shared" si="101"/>
        <v>1850147.9034050666</v>
      </c>
      <c r="F164" s="34">
        <f t="shared" si="101"/>
        <v>1764573.7210346479</v>
      </c>
      <c r="G164" s="34">
        <f t="shared" si="101"/>
        <v>2349759.121694644</v>
      </c>
      <c r="H164" s="34">
        <f t="shared" si="101"/>
        <v>1176717.9007615075</v>
      </c>
      <c r="I164" s="34">
        <f t="shared" si="101"/>
        <v>2440163.5213455171</v>
      </c>
      <c r="J164" s="34">
        <f t="shared" si="101"/>
        <v>171690.97642413917</v>
      </c>
      <c r="K164" s="34">
        <f t="shared" si="101"/>
        <v>-519421.1539804769</v>
      </c>
      <c r="L164" s="34">
        <f t="shared" si="101"/>
        <v>-747841.74728412158</v>
      </c>
      <c r="M164" s="34">
        <f t="shared" si="101"/>
        <v>1455112.7015376585</v>
      </c>
      <c r="N164" s="34">
        <f t="shared" si="101"/>
        <v>1434979.6556192364</v>
      </c>
      <c r="O164" s="34">
        <f t="shared" si="101"/>
        <v>1418150.0942718692</v>
      </c>
      <c r="P164" s="2"/>
    </row>
    <row r="165" spans="1:16" s="3" customFormat="1" ht="15.75" customHeight="1" x14ac:dyDescent="0.25">
      <c r="A165" s="2"/>
      <c r="B165" s="4" t="s">
        <v>9</v>
      </c>
      <c r="C165" s="15">
        <v>2800000</v>
      </c>
      <c r="D165" s="4">
        <f t="shared" ref="D165:O165" si="102">D160+D164</f>
        <v>3205092.1650217515</v>
      </c>
      <c r="E165" s="4">
        <f t="shared" si="102"/>
        <v>5055240.0684268177</v>
      </c>
      <c r="F165" s="4">
        <f t="shared" si="102"/>
        <v>6819813.7894614656</v>
      </c>
      <c r="G165" s="4">
        <f t="shared" si="102"/>
        <v>9169572.9111561105</v>
      </c>
      <c r="H165" s="4">
        <f t="shared" si="102"/>
        <v>10346290.811917618</v>
      </c>
      <c r="I165" s="4">
        <f t="shared" si="102"/>
        <v>12786454.333263135</v>
      </c>
      <c r="J165" s="4">
        <f t="shared" si="102"/>
        <v>12958145.309687274</v>
      </c>
      <c r="K165" s="4">
        <f t="shared" si="102"/>
        <v>12438724.155706797</v>
      </c>
      <c r="L165" s="4">
        <f t="shared" si="102"/>
        <v>11690882.408422675</v>
      </c>
      <c r="M165" s="4">
        <f t="shared" si="102"/>
        <v>13145995.109960333</v>
      </c>
      <c r="N165" s="4">
        <f t="shared" si="102"/>
        <v>14580974.765579568</v>
      </c>
      <c r="O165" s="4">
        <f t="shared" si="102"/>
        <v>15999124.859851437</v>
      </c>
      <c r="P165" s="2"/>
    </row>
    <row r="166" spans="1:16" s="3" customFormat="1" ht="15.75" customHeight="1" x14ac:dyDescent="0.25">
      <c r="A166" s="1"/>
      <c r="B166" s="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s="3" customFormat="1" ht="15.75" customHeight="1" x14ac:dyDescent="0.25">
      <c r="A167" s="11"/>
      <c r="B167" s="10" t="s">
        <v>123</v>
      </c>
      <c r="C167" s="10">
        <f t="shared" ref="C167:O167" si="103">C169-C174</f>
        <v>0</v>
      </c>
      <c r="D167" s="10">
        <f t="shared" si="103"/>
        <v>0</v>
      </c>
      <c r="E167" s="10">
        <f t="shared" si="103"/>
        <v>0</v>
      </c>
      <c r="F167" s="10">
        <f t="shared" si="103"/>
        <v>0</v>
      </c>
      <c r="G167" s="10">
        <f t="shared" si="103"/>
        <v>0</v>
      </c>
      <c r="H167" s="10">
        <f t="shared" si="103"/>
        <v>0</v>
      </c>
      <c r="I167" s="10">
        <f t="shared" si="103"/>
        <v>0</v>
      </c>
      <c r="J167" s="10">
        <f t="shared" si="103"/>
        <v>0</v>
      </c>
      <c r="K167" s="10">
        <f t="shared" si="103"/>
        <v>0</v>
      </c>
      <c r="L167" s="10">
        <f t="shared" si="103"/>
        <v>0</v>
      </c>
      <c r="M167" s="10">
        <f t="shared" si="103"/>
        <v>0</v>
      </c>
      <c r="N167" s="10">
        <f t="shared" si="103"/>
        <v>0</v>
      </c>
      <c r="O167" s="10">
        <f t="shared" si="103"/>
        <v>0</v>
      </c>
      <c r="P167" s="11"/>
    </row>
    <row r="168" spans="1:16" s="3" customFormat="1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3" customFormat="1" ht="15.75" customHeight="1" x14ac:dyDescent="0.25">
      <c r="A169" s="23"/>
      <c r="B169" s="36" t="s">
        <v>124</v>
      </c>
      <c r="C169" s="36">
        <f t="shared" ref="C169:O169" si="104">SUM(C170:C172)</f>
        <v>10505000</v>
      </c>
      <c r="D169" s="36">
        <f t="shared" si="104"/>
        <v>8772722.90082548</v>
      </c>
      <c r="E169" s="36">
        <f t="shared" si="104"/>
        <v>10622870.804230547</v>
      </c>
      <c r="F169" s="36">
        <f t="shared" si="104"/>
        <v>12387444.525265194</v>
      </c>
      <c r="G169" s="36">
        <f t="shared" si="104"/>
        <v>13623677.499799095</v>
      </c>
      <c r="H169" s="36">
        <f t="shared" si="104"/>
        <v>14800395.400560603</v>
      </c>
      <c r="I169" s="36">
        <f t="shared" si="104"/>
        <v>15013506.627584627</v>
      </c>
      <c r="J169" s="36">
        <f t="shared" si="104"/>
        <v>15185197.604008766</v>
      </c>
      <c r="K169" s="36">
        <f t="shared" si="104"/>
        <v>15779302.597189035</v>
      </c>
      <c r="L169" s="36">
        <f t="shared" si="104"/>
        <v>17258513.144226402</v>
      </c>
      <c r="M169" s="36">
        <f t="shared" si="104"/>
        <v>18713625.845764063</v>
      </c>
      <c r="N169" s="36">
        <f t="shared" si="104"/>
        <v>20148605.501383297</v>
      </c>
      <c r="O169" s="36">
        <f t="shared" si="104"/>
        <v>21566755.595655166</v>
      </c>
      <c r="P169" s="23"/>
    </row>
    <row r="170" spans="1:16" s="3" customFormat="1" ht="15.75" customHeight="1" x14ac:dyDescent="0.25">
      <c r="A170" s="1"/>
      <c r="B170" s="2" t="s">
        <v>5</v>
      </c>
      <c r="C170" s="2">
        <f>D160</f>
        <v>2800000</v>
      </c>
      <c r="D170" s="7">
        <f t="shared" ref="D170:P170" si="105">D165</f>
        <v>3205092.1650217515</v>
      </c>
      <c r="E170" s="7">
        <f t="shared" si="105"/>
        <v>5055240.0684268177</v>
      </c>
      <c r="F170" s="7">
        <f t="shared" si="105"/>
        <v>6819813.7894614656</v>
      </c>
      <c r="G170" s="7">
        <f t="shared" si="105"/>
        <v>9169572.9111561105</v>
      </c>
      <c r="H170" s="7">
        <f t="shared" si="105"/>
        <v>10346290.811917618</v>
      </c>
      <c r="I170" s="7">
        <f t="shared" si="105"/>
        <v>12786454.333263135</v>
      </c>
      <c r="J170" s="7">
        <f t="shared" si="105"/>
        <v>12958145.309687274</v>
      </c>
      <c r="K170" s="7">
        <f t="shared" si="105"/>
        <v>12438724.155706797</v>
      </c>
      <c r="L170" s="7">
        <f t="shared" si="105"/>
        <v>11690882.408422675</v>
      </c>
      <c r="M170" s="7">
        <f t="shared" si="105"/>
        <v>13145995.109960333</v>
      </c>
      <c r="N170" s="7">
        <f t="shared" si="105"/>
        <v>14580974.765579568</v>
      </c>
      <c r="O170" s="7">
        <f t="shared" si="105"/>
        <v>15999124.859851437</v>
      </c>
      <c r="P170" s="7">
        <f t="shared" si="105"/>
        <v>0</v>
      </c>
    </row>
    <row r="171" spans="1:16" s="3" customFormat="1" ht="15.75" customHeight="1" x14ac:dyDescent="0.25">
      <c r="A171" s="1"/>
      <c r="B171" s="2" t="s">
        <v>101</v>
      </c>
      <c r="C171" s="2">
        <f t="shared" ref="C171:P171" si="106">C137</f>
        <v>4500000</v>
      </c>
      <c r="D171" s="7">
        <f t="shared" si="106"/>
        <v>5527585.411939932</v>
      </c>
      <c r="E171" s="7">
        <f t="shared" si="106"/>
        <v>5527585.411939932</v>
      </c>
      <c r="F171" s="7">
        <f t="shared" si="106"/>
        <v>5527585.411939932</v>
      </c>
      <c r="G171" s="7">
        <f t="shared" si="106"/>
        <v>4422068.3295519454</v>
      </c>
      <c r="H171" s="7">
        <f t="shared" si="106"/>
        <v>4422068.3295519454</v>
      </c>
      <c r="I171" s="7">
        <f t="shared" si="106"/>
        <v>2211034.1647759727</v>
      </c>
      <c r="J171" s="7">
        <f t="shared" si="106"/>
        <v>2211034.1647759727</v>
      </c>
      <c r="K171" s="7">
        <f t="shared" si="106"/>
        <v>3316551.2471639588</v>
      </c>
      <c r="L171" s="7">
        <f t="shared" si="106"/>
        <v>5527585.411939932</v>
      </c>
      <c r="M171" s="7">
        <f t="shared" si="106"/>
        <v>5527585.411939932</v>
      </c>
      <c r="N171" s="7">
        <f t="shared" si="106"/>
        <v>5527585.411939932</v>
      </c>
      <c r="O171" s="7">
        <f t="shared" si="106"/>
        <v>5527585.411939932</v>
      </c>
      <c r="P171" s="7">
        <f t="shared" si="106"/>
        <v>0</v>
      </c>
    </row>
    <row r="172" spans="1:16" s="3" customFormat="1" ht="15.75" customHeight="1" x14ac:dyDescent="0.25">
      <c r="A172" s="1"/>
      <c r="B172" s="2" t="s">
        <v>125</v>
      </c>
      <c r="C172" s="2">
        <f>C143+C149-C155</f>
        <v>3205000</v>
      </c>
      <c r="D172" s="7">
        <f t="shared" ref="D172:O172" si="107">D143+D149</f>
        <v>40045.323863797355</v>
      </c>
      <c r="E172" s="7">
        <f t="shared" si="107"/>
        <v>40045.323863797355</v>
      </c>
      <c r="F172" s="7">
        <f t="shared" si="107"/>
        <v>40045.323863797355</v>
      </c>
      <c r="G172" s="7">
        <f t="shared" si="107"/>
        <v>32036.259091037791</v>
      </c>
      <c r="H172" s="7">
        <f t="shared" si="107"/>
        <v>32036.259091037791</v>
      </c>
      <c r="I172" s="7">
        <f t="shared" si="107"/>
        <v>16018.129545518896</v>
      </c>
      <c r="J172" s="7">
        <f t="shared" si="107"/>
        <v>16018.129545518896</v>
      </c>
      <c r="K172" s="7">
        <f t="shared" si="107"/>
        <v>24027.194318278693</v>
      </c>
      <c r="L172" s="7">
        <f t="shared" si="107"/>
        <v>40045.323863797355</v>
      </c>
      <c r="M172" s="7">
        <f t="shared" si="107"/>
        <v>40045.323863797355</v>
      </c>
      <c r="N172" s="7">
        <f t="shared" si="107"/>
        <v>40045.323863797355</v>
      </c>
      <c r="O172" s="7">
        <f t="shared" si="107"/>
        <v>40045.323863797355</v>
      </c>
      <c r="P172" s="7">
        <f>P143</f>
        <v>0</v>
      </c>
    </row>
    <row r="173" spans="1:16" s="3" customFormat="1" ht="15.75" customHeight="1" x14ac:dyDescent="0.25">
      <c r="A173" s="1"/>
      <c r="B173" s="2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s="3" customFormat="1" ht="15.75" customHeight="1" x14ac:dyDescent="0.25">
      <c r="A174" s="23"/>
      <c r="B174" s="36" t="s">
        <v>126</v>
      </c>
      <c r="C174" s="36">
        <f t="shared" ref="C174:O174" si="108">C176+C182</f>
        <v>10505000</v>
      </c>
      <c r="D174" s="36">
        <f t="shared" si="108"/>
        <v>8772722.90082548</v>
      </c>
      <c r="E174" s="36">
        <f t="shared" si="108"/>
        <v>10622870.804230547</v>
      </c>
      <c r="F174" s="36">
        <f t="shared" si="108"/>
        <v>12387444.525265196</v>
      </c>
      <c r="G174" s="36">
        <f t="shared" si="108"/>
        <v>13623677.499799091</v>
      </c>
      <c r="H174" s="36">
        <f t="shared" si="108"/>
        <v>14800395.400560601</v>
      </c>
      <c r="I174" s="36">
        <f t="shared" si="108"/>
        <v>15013506.627584627</v>
      </c>
      <c r="J174" s="36">
        <f t="shared" si="108"/>
        <v>15185197.604008766</v>
      </c>
      <c r="K174" s="36">
        <f t="shared" si="108"/>
        <v>15779302.597189033</v>
      </c>
      <c r="L174" s="36">
        <f t="shared" si="108"/>
        <v>17258513.144226406</v>
      </c>
      <c r="M174" s="36">
        <f t="shared" si="108"/>
        <v>18713625.84576406</v>
      </c>
      <c r="N174" s="36">
        <f t="shared" si="108"/>
        <v>20148605.501383297</v>
      </c>
      <c r="O174" s="36">
        <f t="shared" si="108"/>
        <v>21566755.595655169</v>
      </c>
      <c r="P174" s="23"/>
    </row>
    <row r="175" spans="1:16" s="3" customFormat="1" ht="15.75" customHeight="1" x14ac:dyDescent="0.25">
      <c r="A175" s="1"/>
      <c r="B175" s="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s="3" customFormat="1" ht="15.75" customHeight="1" x14ac:dyDescent="0.25">
      <c r="A176" s="1"/>
      <c r="B176" s="4" t="s">
        <v>127</v>
      </c>
      <c r="C176" s="4">
        <f t="shared" ref="C176:O176" si="109">SUM(C177:C179)</f>
        <v>7265196</v>
      </c>
      <c r="D176" s="4">
        <f t="shared" si="109"/>
        <v>8778634.6852365527</v>
      </c>
      <c r="E176" s="4">
        <f t="shared" si="109"/>
        <v>10293552.474573107</v>
      </c>
      <c r="F176" s="4">
        <f t="shared" si="109"/>
        <v>11809964.159050664</v>
      </c>
      <c r="G176" s="4">
        <f t="shared" si="109"/>
        <v>12870903.792205315</v>
      </c>
      <c r="H176" s="4">
        <f t="shared" si="109"/>
        <v>13933367.347793303</v>
      </c>
      <c r="I176" s="4">
        <f t="shared" si="109"/>
        <v>14083408.294208337</v>
      </c>
      <c r="J176" s="4">
        <f t="shared" si="109"/>
        <v>14235003.793897614</v>
      </c>
      <c r="K176" s="4">
        <f t="shared" si="109"/>
        <v>14845150.277809188</v>
      </c>
      <c r="L176" s="4">
        <f t="shared" si="109"/>
        <v>16370844.332346441</v>
      </c>
      <c r="M176" s="4">
        <f t="shared" si="109"/>
        <v>17898140.044676699</v>
      </c>
      <c r="N176" s="4">
        <f t="shared" si="109"/>
        <v>19427053.431377895</v>
      </c>
      <c r="O176" s="4">
        <f t="shared" si="109"/>
        <v>20957600.669193741</v>
      </c>
      <c r="P176" s="7"/>
    </row>
    <row r="177" spans="1:16" s="3" customFormat="1" ht="15.75" customHeight="1" x14ac:dyDescent="0.25">
      <c r="A177" s="1"/>
      <c r="B177" s="2" t="s">
        <v>128</v>
      </c>
      <c r="C177" s="2">
        <v>7265196</v>
      </c>
      <c r="D177" s="2">
        <f t="shared" ref="D177:O177" si="110">C177</f>
        <v>7265196</v>
      </c>
      <c r="E177" s="2">
        <f t="shared" si="110"/>
        <v>7265196</v>
      </c>
      <c r="F177" s="2">
        <f t="shared" si="110"/>
        <v>7265196</v>
      </c>
      <c r="G177" s="2">
        <f t="shared" si="110"/>
        <v>7265196</v>
      </c>
      <c r="H177" s="2">
        <f t="shared" si="110"/>
        <v>7265196</v>
      </c>
      <c r="I177" s="2">
        <f t="shared" si="110"/>
        <v>7265196</v>
      </c>
      <c r="J177" s="2">
        <f t="shared" si="110"/>
        <v>7265196</v>
      </c>
      <c r="K177" s="2">
        <f t="shared" si="110"/>
        <v>7265196</v>
      </c>
      <c r="L177" s="2">
        <f t="shared" si="110"/>
        <v>7265196</v>
      </c>
      <c r="M177" s="2">
        <f t="shared" si="110"/>
        <v>7265196</v>
      </c>
      <c r="N177" s="2">
        <f t="shared" si="110"/>
        <v>7265196</v>
      </c>
      <c r="O177" s="2">
        <f t="shared" si="110"/>
        <v>7265196</v>
      </c>
      <c r="P177" s="7">
        <f>P176/12</f>
        <v>0</v>
      </c>
    </row>
    <row r="178" spans="1:16" s="3" customFormat="1" ht="15.75" customHeight="1" x14ac:dyDescent="0.25">
      <c r="A178" s="1"/>
      <c r="B178" s="2" t="s">
        <v>129</v>
      </c>
      <c r="C178" s="2"/>
      <c r="D178" s="2">
        <f t="shared" ref="D178:O178" si="111">C178+D112</f>
        <v>1681598.539151727</v>
      </c>
      <c r="E178" s="2">
        <f t="shared" si="111"/>
        <v>3364840.5273034545</v>
      </c>
      <c r="F178" s="2">
        <f t="shared" si="111"/>
        <v>5049742.3989451816</v>
      </c>
      <c r="G178" s="2">
        <f t="shared" si="111"/>
        <v>6228564.2135614622</v>
      </c>
      <c r="H178" s="2">
        <f t="shared" si="111"/>
        <v>7409079.2753258925</v>
      </c>
      <c r="I178" s="2">
        <f t="shared" si="111"/>
        <v>7575791.4380092621</v>
      </c>
      <c r="J178" s="2">
        <f t="shared" si="111"/>
        <v>7744230.8821084592</v>
      </c>
      <c r="K178" s="2">
        <f t="shared" si="111"/>
        <v>8422171.4197879862</v>
      </c>
      <c r="L178" s="2">
        <f t="shared" si="111"/>
        <v>10117387.035940489</v>
      </c>
      <c r="M178" s="2">
        <f t="shared" si="111"/>
        <v>11814382.271863</v>
      </c>
      <c r="N178" s="2">
        <f t="shared" si="111"/>
        <v>13513174.923753219</v>
      </c>
      <c r="O178" s="2">
        <f t="shared" si="111"/>
        <v>15213782.965770822</v>
      </c>
      <c r="P178" s="7"/>
    </row>
    <row r="179" spans="1:16" s="3" customFormat="1" ht="15.75" customHeight="1" x14ac:dyDescent="0.25">
      <c r="A179" s="1"/>
      <c r="B179" s="2" t="s">
        <v>130</v>
      </c>
      <c r="C179" s="2"/>
      <c r="D179" s="2">
        <f>D125</f>
        <v>-168159.85391517272</v>
      </c>
      <c r="E179" s="2">
        <f t="shared" ref="E179:O179" si="112">E125+D179</f>
        <v>-336484.05273034546</v>
      </c>
      <c r="F179" s="2">
        <f t="shared" si="112"/>
        <v>-504974.23989451816</v>
      </c>
      <c r="G179" s="2">
        <f t="shared" si="112"/>
        <v>-622856.42135614622</v>
      </c>
      <c r="H179" s="2">
        <f t="shared" si="112"/>
        <v>-740907.9275325893</v>
      </c>
      <c r="I179" s="2">
        <f t="shared" si="112"/>
        <v>-757579.14380092628</v>
      </c>
      <c r="J179" s="2">
        <f t="shared" si="112"/>
        <v>-774423.08821084595</v>
      </c>
      <c r="K179" s="2">
        <f t="shared" si="112"/>
        <v>-842217.14197879867</v>
      </c>
      <c r="L179" s="2">
        <f t="shared" si="112"/>
        <v>-1011738.703594049</v>
      </c>
      <c r="M179" s="2">
        <f t="shared" si="112"/>
        <v>-1181438.2271863001</v>
      </c>
      <c r="N179" s="2">
        <f t="shared" si="112"/>
        <v>-1351317.4923753219</v>
      </c>
      <c r="O179" s="2">
        <f t="shared" si="112"/>
        <v>-1521378.2965770822</v>
      </c>
      <c r="P179" s="7"/>
    </row>
    <row r="180" spans="1:16" s="3" customFormat="1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</row>
    <row r="181" spans="1:16" s="3" customFormat="1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</row>
    <row r="182" spans="1:16" s="3" customFormat="1" ht="15.75" customHeight="1" x14ac:dyDescent="0.25">
      <c r="A182" s="1"/>
      <c r="B182" s="4" t="s">
        <v>131</v>
      </c>
      <c r="C182" s="4">
        <f t="shared" ref="C182:O182" si="113">SUM(C183:C184)</f>
        <v>3239804</v>
      </c>
      <c r="D182" s="4">
        <f t="shared" si="113"/>
        <v>-5911.7844110731967</v>
      </c>
      <c r="E182" s="4">
        <f t="shared" si="113"/>
        <v>329318.32965743868</v>
      </c>
      <c r="F182" s="4">
        <f t="shared" si="113"/>
        <v>577480.36621453241</v>
      </c>
      <c r="G182" s="4">
        <f t="shared" si="113"/>
        <v>752773.70759377722</v>
      </c>
      <c r="H182" s="4">
        <f t="shared" si="113"/>
        <v>867028.05276729795</v>
      </c>
      <c r="I182" s="4">
        <f t="shared" si="113"/>
        <v>930098.33337628981</v>
      </c>
      <c r="J182" s="4">
        <f t="shared" si="113"/>
        <v>950193.81011115189</v>
      </c>
      <c r="K182" s="4">
        <f t="shared" si="113"/>
        <v>934152.31937984598</v>
      </c>
      <c r="L182" s="4">
        <f t="shared" si="113"/>
        <v>887668.81187996326</v>
      </c>
      <c r="M182" s="4">
        <f t="shared" si="113"/>
        <v>815485.80108736199</v>
      </c>
      <c r="N182" s="4">
        <f t="shared" si="113"/>
        <v>721552.0700054015</v>
      </c>
      <c r="O182" s="4">
        <f t="shared" si="113"/>
        <v>609154.92646142701</v>
      </c>
      <c r="P182" s="7"/>
    </row>
    <row r="183" spans="1:16" s="3" customFormat="1" ht="15.75" customHeight="1" x14ac:dyDescent="0.25">
      <c r="A183" s="1"/>
      <c r="B183" s="2" t="s">
        <v>132</v>
      </c>
      <c r="C183" s="2">
        <f t="shared" ref="C183:O183" si="114">C119</f>
        <v>3239804</v>
      </c>
      <c r="D183" s="2">
        <f t="shared" si="114"/>
        <v>3064969</v>
      </c>
      <c r="E183" s="2">
        <f t="shared" si="114"/>
        <v>2888385.65</v>
      </c>
      <c r="F183" s="2">
        <f t="shared" si="114"/>
        <v>2710036.4665000001</v>
      </c>
      <c r="G183" s="2">
        <f t="shared" si="114"/>
        <v>2529903.7911650003</v>
      </c>
      <c r="H183" s="2">
        <f t="shared" si="114"/>
        <v>2347969.7890766505</v>
      </c>
      <c r="I183" s="2">
        <f t="shared" si="114"/>
        <v>2164216.4469674169</v>
      </c>
      <c r="J183" s="2">
        <f t="shared" si="114"/>
        <v>1978625.5714370911</v>
      </c>
      <c r="K183" s="2">
        <f t="shared" si="114"/>
        <v>1791178.7871514619</v>
      </c>
      <c r="L183" s="2">
        <f t="shared" si="114"/>
        <v>1601857.5350229766</v>
      </c>
      <c r="M183" s="2">
        <f t="shared" si="114"/>
        <v>1410643.0703732064</v>
      </c>
      <c r="N183" s="2">
        <f t="shared" si="114"/>
        <v>1217516.4610769385</v>
      </c>
      <c r="O183" s="2">
        <f t="shared" si="114"/>
        <v>1022458.5856877079</v>
      </c>
      <c r="P183" s="7"/>
    </row>
    <row r="184" spans="1:16" s="3" customFormat="1" ht="15.75" customHeight="1" x14ac:dyDescent="0.25">
      <c r="A184" s="1"/>
      <c r="B184" s="2" t="s">
        <v>133</v>
      </c>
      <c r="C184" s="2"/>
      <c r="D184" s="2">
        <f t="shared" ref="D184:O184" si="115">D155</f>
        <v>-3070880.7844110732</v>
      </c>
      <c r="E184" s="2">
        <f t="shared" si="115"/>
        <v>-2559067.3203425612</v>
      </c>
      <c r="F184" s="2">
        <f t="shared" si="115"/>
        <v>-2132556.1002854677</v>
      </c>
      <c r="G184" s="2">
        <f t="shared" si="115"/>
        <v>-1777130.0835712231</v>
      </c>
      <c r="H184" s="2">
        <f t="shared" si="115"/>
        <v>-1480941.7363093526</v>
      </c>
      <c r="I184" s="2">
        <f t="shared" si="115"/>
        <v>-1234118.1135911271</v>
      </c>
      <c r="J184" s="2">
        <f t="shared" si="115"/>
        <v>-1028431.7613259392</v>
      </c>
      <c r="K184" s="2">
        <f t="shared" si="115"/>
        <v>-857026.46777161595</v>
      </c>
      <c r="L184" s="2">
        <f t="shared" si="115"/>
        <v>-714188.72314301331</v>
      </c>
      <c r="M184" s="2">
        <f t="shared" si="115"/>
        <v>-595157.26928584441</v>
      </c>
      <c r="N184" s="2">
        <f t="shared" si="115"/>
        <v>-495964.39107153699</v>
      </c>
      <c r="O184" s="2">
        <f t="shared" si="115"/>
        <v>-413303.65922628081</v>
      </c>
      <c r="P184" s="7"/>
    </row>
    <row r="185" spans="1:16" s="3" customFormat="1" ht="15.75" customHeight="1" x14ac:dyDescent="0.25">
      <c r="A185" s="1"/>
      <c r="B185" s="1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3" customFormat="1" ht="15.75" customHeight="1" x14ac:dyDescent="0.25">
      <c r="A186" s="1"/>
      <c r="B186" s="1" t="s">
        <v>134</v>
      </c>
      <c r="C186" s="37">
        <f ca="1">C8/ AVERAGE(INDIRECT("D"&amp;MATCH("Собственный капитал",$B:$B,0)&amp;":O"&amp;MATCH("Собственный капитал",$B:$B,0)))</f>
        <v>1.0402371880078769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>
        <f>O112/O176</f>
        <v>8.1145168708046958E-2</v>
      </c>
      <c r="P186" s="7"/>
    </row>
    <row r="187" spans="1:16" s="3" customFormat="1" ht="15.75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ht="15.75" customHeight="1" x14ac:dyDescent="0.25"/>
    <row r="189" spans="1:16" ht="15.75" customHeight="1" x14ac:dyDescent="0.25"/>
    <row r="190" spans="1:16" ht="15.75" customHeight="1" x14ac:dyDescent="0.25"/>
    <row r="191" spans="1:16" ht="15.75" customHeight="1" x14ac:dyDescent="0.25"/>
    <row r="192" spans="1:16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24">
    <mergeCell ref="B163:C163"/>
    <mergeCell ref="B164:C164"/>
    <mergeCell ref="B133:C133"/>
    <mergeCell ref="B134:C134"/>
    <mergeCell ref="B138:C138"/>
    <mergeCell ref="B139:C139"/>
    <mergeCell ref="B140:C140"/>
    <mergeCell ref="B144:C144"/>
    <mergeCell ref="B145:C145"/>
    <mergeCell ref="B146:C146"/>
    <mergeCell ref="B152:C152"/>
    <mergeCell ref="B160:C160"/>
    <mergeCell ref="B161:C161"/>
    <mergeCell ref="B162:C162"/>
    <mergeCell ref="D134:O134"/>
    <mergeCell ref="D139:O139"/>
    <mergeCell ref="D145:O145"/>
    <mergeCell ref="B102:C102"/>
    <mergeCell ref="B111:C111"/>
    <mergeCell ref="D111:O111"/>
    <mergeCell ref="B113:C113"/>
    <mergeCell ref="B114:C114"/>
    <mergeCell ref="B132:C132"/>
    <mergeCell ref="D133:O13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маркетплейс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Виктория Нагибина</cp:lastModifiedBy>
  <dcterms:modified xsi:type="dcterms:W3CDTF">2025-05-23T13:53:22Z</dcterms:modified>
</cp:coreProperties>
</file>